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19\РД\"/>
    </mc:Choice>
  </mc:AlternateContent>
  <bookViews>
    <workbookView xWindow="0" yWindow="-15" windowWidth="11700" windowHeight="12090" tabRatio="942"/>
  </bookViews>
  <sheets>
    <sheet name="Титульный" sheetId="58" r:id="rId1"/>
    <sheet name="Свод" sheetId="4" r:id="rId2"/>
    <sheet name="Информация об организации" sheetId="3" r:id="rId3"/>
    <sheet name="АТЭЦ ДМ_П4" sheetId="75" r:id="rId4"/>
    <sheet name="АТЭЦ ДМ_П5" sheetId="76" r:id="rId5"/>
    <sheet name="АТЭЦ НМ_П4" sheetId="83" r:id="rId6"/>
    <sheet name="АТЭЦ НМ_П5" sheetId="84" r:id="rId7"/>
    <sheet name="ЧТЭЦ-1 ДМ_П4" sheetId="71" r:id="rId8"/>
    <sheet name="ЧТЭЦ-1 ДМ_П5" sheetId="72" r:id="rId9"/>
    <sheet name="ЧТЭЦ-1 НМ_П4" sheetId="79" r:id="rId10"/>
    <sheet name="ЧТЭЦ-1 НМ_П5" sheetId="80" r:id="rId11"/>
    <sheet name="ЧТЭЦ-2_П4" sheetId="73" r:id="rId12"/>
    <sheet name="ЧТЭЦ-2_П5" sheetId="74" r:id="rId13"/>
    <sheet name="ЧТЭЦ-3 ДМ_П4" sheetId="77" r:id="rId14"/>
    <sheet name="ЧТЭЦ-3 ДМ_П5" sheetId="78" r:id="rId15"/>
    <sheet name="ЧТЭЦ-3 НМ_П4" sheetId="81" r:id="rId16"/>
    <sheet name="ЧТЭЦ-3 НМ_П5" sheetId="82" r:id="rId17"/>
    <sheet name="ЧГРЭС Б1_П4" sheetId="87" r:id="rId18"/>
    <sheet name="ЧГРЭС Б1_П5" sheetId="88" r:id="rId19"/>
    <sheet name="ЧГРЭС Б2_П4" sheetId="89" r:id="rId20"/>
    <sheet name="ЧГРЭС Б2_П5" sheetId="90" r:id="rId21"/>
    <sheet name="ЧГРЭС Б3_П4" sheetId="91" r:id="rId22"/>
    <sheet name="ЧГРЭС Б3_П5" sheetId="92" r:id="rId23"/>
    <sheet name="ТТЭЦ-1 ДМ_П4" sheetId="61" r:id="rId24"/>
    <sheet name="ТТЭЦ-1 ДМ_П5" sheetId="62" r:id="rId25"/>
    <sheet name="ТТЭЦ-1 НМ_П4" sheetId="63" r:id="rId26"/>
    <sheet name="ТТЭЦ-1 НМ_П5" sheetId="64" r:id="rId27"/>
    <sheet name="ТТЭЦ-2_П4" sheetId="59" r:id="rId28"/>
    <sheet name="ТТЭЦ-2_П5" sheetId="60" r:id="rId29"/>
    <sheet name="НГРЭС Б1_П4" sheetId="65" r:id="rId30"/>
    <sheet name="НГРЭС Б1_П5" sheetId="66" r:id="rId31"/>
    <sheet name="НГРЭС Б2_П4" sheetId="67" r:id="rId32"/>
    <sheet name="НГРЭС Б2_П5" sheetId="68" r:id="rId33"/>
    <sheet name="НГРЭС Б3_П4" sheetId="69" r:id="rId34"/>
    <sheet name="НГРЭС Б3_П5" sheetId="70"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'АТЭЦ ДМ_П4'!$A$1:$F$52</definedName>
    <definedName name="_xlnm.Print_Area" localSheetId="4">'АТЭЦ ДМ_П5'!$A$1:$I$32</definedName>
    <definedName name="_xlnm.Print_Area" localSheetId="5">'АТЭЦ НМ_П4'!$A$1:$F$52</definedName>
    <definedName name="_xlnm.Print_Area" localSheetId="6">'АТЭЦ НМ_П5'!$A$1:$I$32</definedName>
    <definedName name="_xlnm.Print_Area" localSheetId="29">'НГРЭС Б1_П4'!$A$1:$F$52</definedName>
    <definedName name="_xlnm.Print_Area" localSheetId="30">'НГРЭС Б1_П5'!$A$1:$I$32</definedName>
    <definedName name="_xlnm.Print_Area" localSheetId="31">'НГРЭС Б2_П4'!$A$1:$F$52</definedName>
    <definedName name="_xlnm.Print_Area" localSheetId="32">'НГРЭС Б2_П5'!$A$1:$I$32</definedName>
    <definedName name="_xlnm.Print_Area" localSheetId="33">'НГРЭС Б3_П4'!$A$1:$F$52</definedName>
    <definedName name="_xlnm.Print_Area" localSheetId="34">'НГРЭС Б3_П5'!$A$1:$I$32</definedName>
    <definedName name="_xlnm.Print_Area" localSheetId="23">'ТТЭЦ-1 ДМ_П4'!$A$1:$F$52</definedName>
    <definedName name="_xlnm.Print_Area" localSheetId="24">'ТТЭЦ-1 ДМ_П5'!$A$1:$I$32</definedName>
    <definedName name="_xlnm.Print_Area" localSheetId="25">'ТТЭЦ-1 НМ_П4'!$A$1:$F$52</definedName>
    <definedName name="_xlnm.Print_Area" localSheetId="26">'ТТЭЦ-1 НМ_П5'!$A$1:$I$32</definedName>
    <definedName name="_xlnm.Print_Area" localSheetId="27">'ТТЭЦ-2_П4'!$A$1:$F$52</definedName>
    <definedName name="_xlnm.Print_Area" localSheetId="28">'ТТЭЦ-2_П5'!$A$1:$I$32</definedName>
    <definedName name="_xlnm.Print_Area" localSheetId="17">'ЧГРЭС Б1_П4'!$A$1:$F$52</definedName>
    <definedName name="_xlnm.Print_Area" localSheetId="18">'ЧГРЭС Б1_П5'!$A$1:$I$32</definedName>
    <definedName name="_xlnm.Print_Area" localSheetId="19">'ЧГРЭС Б2_П4'!$A$1:$F$52</definedName>
    <definedName name="_xlnm.Print_Area" localSheetId="20">'ЧГРЭС Б2_П5'!$A$1:$I$32</definedName>
    <definedName name="_xlnm.Print_Area" localSheetId="21">'ЧГРЭС Б3_П4'!$A$1:$F$52</definedName>
    <definedName name="_xlnm.Print_Area" localSheetId="22">'ЧГРЭС Б3_П5'!$A$1:$I$32</definedName>
    <definedName name="_xlnm.Print_Area" localSheetId="7">'ЧТЭЦ-1 ДМ_П4'!$A$1:$F$52</definedName>
    <definedName name="_xlnm.Print_Area" localSheetId="8">'ЧТЭЦ-1 ДМ_П5'!$A$1:$I$32</definedName>
    <definedName name="_xlnm.Print_Area" localSheetId="9">'ЧТЭЦ-1 НМ_П4'!$A$1:$F$52</definedName>
    <definedName name="_xlnm.Print_Area" localSheetId="10">'ЧТЭЦ-1 НМ_П5'!$A$1:$I$32</definedName>
    <definedName name="_xlnm.Print_Area" localSheetId="11">'ЧТЭЦ-2_П4'!$A$1:$F$52</definedName>
    <definedName name="_xlnm.Print_Area" localSheetId="12">'ЧТЭЦ-2_П5'!$A$1:$I$32</definedName>
    <definedName name="_xlnm.Print_Area" localSheetId="13">'ЧТЭЦ-3 ДМ_П4'!$A$1:$F$52</definedName>
    <definedName name="_xlnm.Print_Area" localSheetId="14">'ЧТЭЦ-3 ДМ_П5'!$A$1:$I$32</definedName>
    <definedName name="_xlnm.Print_Area" localSheetId="15">'ЧТЭЦ-3 НМ_П4'!$A$1:$F$52</definedName>
    <definedName name="_xlnm.Print_Area" localSheetId="16">'ЧТЭЦ-3 НМ_П5'!$A$1:$I$32</definedName>
    <definedName name="р">P5_SCOPE_PER_PRT,P6_SCOPE_PER_PRT,P7_SCOPE_PER_PRT,P8_SCOPE_PER_PRT</definedName>
  </definedNames>
  <calcPr calcId="152511"/>
</workbook>
</file>

<file path=xl/calcChain.xml><?xml version="1.0" encoding="utf-8"?>
<calcChain xmlns="http://schemas.openxmlformats.org/spreadsheetml/2006/main">
  <c r="H12" i="60" l="1"/>
  <c r="G12" i="60"/>
  <c r="F12" i="60"/>
  <c r="F24" i="59"/>
  <c r="E24" i="59"/>
  <c r="F22" i="59"/>
  <c r="E22" i="59"/>
  <c r="H13" i="60"/>
  <c r="G13" i="60"/>
  <c r="H11" i="60"/>
  <c r="G11" i="60"/>
  <c r="F23" i="59"/>
  <c r="E23" i="59"/>
  <c r="F21" i="59"/>
  <c r="E21" i="59"/>
  <c r="F20" i="59"/>
  <c r="E20" i="59"/>
  <c r="F18" i="59"/>
  <c r="E18" i="59"/>
  <c r="F17" i="59"/>
  <c r="E17" i="59"/>
  <c r="F16" i="59"/>
  <c r="E16" i="59"/>
  <c r="F15" i="59"/>
  <c r="E15" i="59"/>
  <c r="F14" i="59"/>
  <c r="E14" i="59"/>
  <c r="F13" i="59"/>
  <c r="E13" i="59"/>
  <c r="F12" i="59"/>
  <c r="E12" i="59"/>
  <c r="F11" i="59"/>
  <c r="E11" i="59"/>
  <c r="F10" i="59"/>
  <c r="E10" i="59"/>
  <c r="H12" i="82"/>
  <c r="G12" i="82"/>
  <c r="F12" i="82"/>
  <c r="F24" i="81"/>
  <c r="E24" i="81"/>
  <c r="F22" i="81"/>
  <c r="E22" i="81"/>
  <c r="H11" i="82"/>
  <c r="G11" i="82"/>
  <c r="F23" i="81"/>
  <c r="E23" i="81"/>
  <c r="F21" i="81"/>
  <c r="E21" i="81"/>
  <c r="F20" i="81"/>
  <c r="E20" i="81"/>
  <c r="F18" i="81"/>
  <c r="E18" i="81"/>
  <c r="F17" i="81"/>
  <c r="E17" i="81"/>
  <c r="F16" i="81"/>
  <c r="E16" i="81"/>
  <c r="F15" i="81"/>
  <c r="E15" i="81"/>
  <c r="F14" i="81"/>
  <c r="E14" i="81"/>
  <c r="F13" i="81"/>
  <c r="E13" i="81"/>
  <c r="F12" i="81"/>
  <c r="E12" i="81"/>
  <c r="F11" i="81"/>
  <c r="E11" i="81"/>
  <c r="F10" i="81"/>
  <c r="E10" i="81"/>
  <c r="H12" i="74"/>
  <c r="G12" i="74"/>
  <c r="F12" i="74"/>
  <c r="F24" i="73"/>
  <c r="E24" i="73"/>
  <c r="F22" i="73"/>
  <c r="E22" i="73"/>
  <c r="H13" i="74"/>
  <c r="G13" i="74"/>
  <c r="H11" i="74"/>
  <c r="F23" i="73"/>
  <c r="E23" i="73"/>
  <c r="F21" i="73"/>
  <c r="E21" i="73"/>
  <c r="F20" i="73"/>
  <c r="E20" i="73"/>
  <c r="F18" i="73"/>
  <c r="E18" i="73"/>
  <c r="F17" i="73"/>
  <c r="E17" i="73"/>
  <c r="F16" i="73"/>
  <c r="E16" i="73"/>
  <c r="F15" i="73"/>
  <c r="E15" i="73"/>
  <c r="F14" i="73"/>
  <c r="E14" i="73"/>
  <c r="F13" i="73"/>
  <c r="E13" i="73"/>
  <c r="F12" i="73"/>
  <c r="E12" i="73"/>
  <c r="F11" i="73"/>
  <c r="E11" i="73"/>
  <c r="F10" i="73"/>
  <c r="E10" i="73"/>
  <c r="H12" i="92"/>
  <c r="G12" i="92"/>
  <c r="F24" i="91"/>
  <c r="E24" i="91"/>
  <c r="F22" i="91"/>
  <c r="E22" i="91"/>
  <c r="H13" i="92"/>
  <c r="G13" i="92"/>
  <c r="H11" i="92"/>
  <c r="G11" i="92"/>
  <c r="F23" i="91"/>
  <c r="E23" i="91"/>
  <c r="F21" i="91"/>
  <c r="E21" i="91"/>
  <c r="F20" i="91"/>
  <c r="E20" i="91"/>
  <c r="F18" i="91"/>
  <c r="E18" i="91"/>
  <c r="F17" i="91"/>
  <c r="E17" i="91"/>
  <c r="F16" i="91"/>
  <c r="E16" i="91"/>
  <c r="F15" i="91"/>
  <c r="E15" i="91"/>
  <c r="F14" i="91"/>
  <c r="E14" i="91"/>
  <c r="F13" i="91"/>
  <c r="E13" i="91"/>
  <c r="F12" i="91"/>
  <c r="E12" i="91"/>
  <c r="F11" i="91"/>
  <c r="E11" i="91"/>
  <c r="F10" i="91"/>
  <c r="E10" i="91"/>
  <c r="H12" i="64"/>
  <c r="G12" i="64"/>
  <c r="F12" i="64"/>
  <c r="F24" i="63"/>
  <c r="E24" i="63"/>
  <c r="F22" i="63"/>
  <c r="E22" i="63"/>
  <c r="H11" i="64"/>
  <c r="G11" i="64"/>
  <c r="F23" i="63"/>
  <c r="E23" i="63"/>
  <c r="F21" i="63"/>
  <c r="E21" i="63"/>
  <c r="F20" i="63"/>
  <c r="E20" i="63"/>
  <c r="F18" i="63"/>
  <c r="E18" i="63"/>
  <c r="F17" i="63"/>
  <c r="E17" i="63"/>
  <c r="F16" i="63"/>
  <c r="E16" i="63"/>
  <c r="F15" i="63"/>
  <c r="E15" i="63"/>
  <c r="F14" i="63"/>
  <c r="E14" i="63"/>
  <c r="F13" i="63"/>
  <c r="E13" i="63"/>
  <c r="F12" i="63"/>
  <c r="E12" i="63"/>
  <c r="F11" i="63"/>
  <c r="E11" i="63"/>
  <c r="F10" i="63"/>
  <c r="E10" i="63"/>
  <c r="H12" i="84"/>
  <c r="F24" i="83"/>
  <c r="F22" i="83"/>
  <c r="H11" i="84"/>
  <c r="F23" i="83"/>
  <c r="F21" i="83"/>
  <c r="F20" i="83"/>
  <c r="F18" i="83"/>
  <c r="F17" i="83"/>
  <c r="F16" i="83"/>
  <c r="F15" i="83"/>
  <c r="F14" i="83"/>
  <c r="F13" i="83"/>
  <c r="F12" i="83"/>
  <c r="F11" i="83"/>
  <c r="F10" i="83"/>
  <c r="H12" i="90"/>
  <c r="G12" i="90"/>
  <c r="F12" i="90"/>
  <c r="F24" i="89"/>
  <c r="E24" i="89"/>
  <c r="F22" i="89"/>
  <c r="E22" i="89"/>
  <c r="H11" i="90"/>
  <c r="G11" i="90"/>
  <c r="F23" i="89"/>
  <c r="E23" i="89"/>
  <c r="F21" i="89"/>
  <c r="E21" i="89"/>
  <c r="F20" i="89"/>
  <c r="E20" i="89"/>
  <c r="F18" i="89"/>
  <c r="E18" i="89"/>
  <c r="F17" i="89"/>
  <c r="E17" i="89"/>
  <c r="F16" i="89"/>
  <c r="E16" i="89"/>
  <c r="F15" i="89"/>
  <c r="E15" i="89"/>
  <c r="F14" i="89"/>
  <c r="E14" i="89"/>
  <c r="F13" i="89"/>
  <c r="E13" i="89"/>
  <c r="F12" i="89"/>
  <c r="E12" i="89"/>
  <c r="F11" i="89"/>
  <c r="E11" i="89"/>
  <c r="F10" i="89"/>
  <c r="E10" i="89"/>
  <c r="H12" i="78"/>
  <c r="G12" i="78"/>
  <c r="F12" i="78"/>
  <c r="F24" i="77"/>
  <c r="E24" i="77"/>
  <c r="F22" i="77"/>
  <c r="E22" i="77"/>
  <c r="H13" i="78"/>
  <c r="G13" i="78"/>
  <c r="H11" i="78"/>
  <c r="G11" i="78"/>
  <c r="F23" i="77"/>
  <c r="E23" i="77"/>
  <c r="F21" i="77"/>
  <c r="E21" i="77"/>
  <c r="F20" i="77"/>
  <c r="E20" i="77"/>
  <c r="F18" i="77"/>
  <c r="E18" i="77"/>
  <c r="F17" i="77"/>
  <c r="E17" i="77"/>
  <c r="F16" i="77"/>
  <c r="E16" i="77"/>
  <c r="F15" i="77"/>
  <c r="E15" i="77"/>
  <c r="F14" i="77"/>
  <c r="E14" i="77"/>
  <c r="F13" i="77"/>
  <c r="E13" i="77"/>
  <c r="F12" i="77"/>
  <c r="E12" i="77"/>
  <c r="F11" i="77"/>
  <c r="E11" i="77"/>
  <c r="F10" i="77"/>
  <c r="E10" i="77"/>
  <c r="H12" i="72"/>
  <c r="G12" i="72"/>
  <c r="F12" i="72"/>
  <c r="F24" i="71"/>
  <c r="E24" i="71"/>
  <c r="F22" i="71"/>
  <c r="E22" i="71"/>
  <c r="H13" i="72"/>
  <c r="G13" i="72"/>
  <c r="H11" i="72"/>
  <c r="G11" i="72"/>
  <c r="F23" i="71"/>
  <c r="E23" i="71"/>
  <c r="F21" i="71"/>
  <c r="E21" i="71"/>
  <c r="F20" i="71"/>
  <c r="E20" i="71"/>
  <c r="F18" i="71"/>
  <c r="E18" i="71"/>
  <c r="F17" i="71"/>
  <c r="E17" i="71"/>
  <c r="F16" i="71"/>
  <c r="E16" i="71"/>
  <c r="F15" i="71"/>
  <c r="E15" i="71"/>
  <c r="F14" i="71"/>
  <c r="E14" i="71"/>
  <c r="F13" i="71"/>
  <c r="E13" i="71"/>
  <c r="F12" i="71"/>
  <c r="E12" i="71"/>
  <c r="F11" i="71"/>
  <c r="E11" i="71"/>
  <c r="F10" i="71"/>
  <c r="E10" i="71"/>
  <c r="H12" i="80"/>
  <c r="G12" i="80"/>
  <c r="F12" i="80"/>
  <c r="F24" i="79"/>
  <c r="E24" i="79"/>
  <c r="F22" i="79"/>
  <c r="E22" i="79"/>
  <c r="H13" i="80"/>
  <c r="G13" i="80"/>
  <c r="H11" i="80"/>
  <c r="G11" i="80"/>
  <c r="F23" i="79"/>
  <c r="E23" i="79"/>
  <c r="F21" i="79"/>
  <c r="E21" i="79"/>
  <c r="F20" i="79"/>
  <c r="E20" i="79"/>
  <c r="F18" i="79"/>
  <c r="E18" i="79"/>
  <c r="F17" i="79"/>
  <c r="E17" i="79"/>
  <c r="F16" i="79"/>
  <c r="E16" i="79"/>
  <c r="F15" i="79"/>
  <c r="E15" i="79"/>
  <c r="F14" i="79"/>
  <c r="E14" i="79"/>
  <c r="F13" i="79"/>
  <c r="E13" i="79"/>
  <c r="F12" i="79"/>
  <c r="E12" i="79"/>
  <c r="F11" i="79"/>
  <c r="E11" i="79"/>
  <c r="F10" i="79"/>
  <c r="E10" i="79"/>
  <c r="H12" i="88"/>
  <c r="G12" i="88"/>
  <c r="F12" i="88"/>
  <c r="F24" i="87"/>
  <c r="E24" i="87"/>
  <c r="F22" i="87"/>
  <c r="E22" i="87"/>
  <c r="H11" i="88"/>
  <c r="G11" i="88"/>
  <c r="F23" i="87"/>
  <c r="E23" i="87"/>
  <c r="F21" i="87"/>
  <c r="E21" i="87"/>
  <c r="F20" i="87"/>
  <c r="E20" i="87"/>
  <c r="F18" i="87"/>
  <c r="E18" i="87"/>
  <c r="F17" i="87"/>
  <c r="E17" i="87"/>
  <c r="F16" i="87"/>
  <c r="E16" i="87"/>
  <c r="F15" i="87"/>
  <c r="E15" i="87"/>
  <c r="F14" i="87"/>
  <c r="E14" i="87"/>
  <c r="F13" i="87"/>
  <c r="E13" i="87"/>
  <c r="F12" i="87"/>
  <c r="E12" i="87"/>
  <c r="F11" i="87"/>
  <c r="E11" i="87"/>
  <c r="F10" i="87"/>
  <c r="E10" i="87"/>
  <c r="H12" i="62"/>
  <c r="G12" i="62"/>
  <c r="F12" i="62"/>
  <c r="F24" i="61"/>
  <c r="E24" i="61"/>
  <c r="F22" i="61"/>
  <c r="E22" i="61"/>
  <c r="H13" i="62"/>
  <c r="G13" i="62"/>
  <c r="H11" i="62"/>
  <c r="G11" i="62"/>
  <c r="F23" i="61"/>
  <c r="E23" i="61"/>
  <c r="F21" i="61"/>
  <c r="E21" i="61"/>
  <c r="F20" i="61"/>
  <c r="E20" i="61"/>
  <c r="F18" i="61"/>
  <c r="E18" i="61"/>
  <c r="F17" i="61"/>
  <c r="E17" i="61"/>
  <c r="F16" i="61"/>
  <c r="E16" i="61"/>
  <c r="F15" i="61"/>
  <c r="E15" i="61"/>
  <c r="F14" i="61"/>
  <c r="E14" i="61"/>
  <c r="F13" i="61"/>
  <c r="E13" i="61"/>
  <c r="F12" i="61"/>
  <c r="E12" i="61"/>
  <c r="F11" i="61"/>
  <c r="E11" i="61"/>
  <c r="F10" i="61"/>
  <c r="E10" i="61"/>
  <c r="H12" i="66"/>
  <c r="G12" i="66"/>
  <c r="F12" i="66"/>
  <c r="F24" i="65"/>
  <c r="E24" i="65"/>
  <c r="F22" i="65"/>
  <c r="E22" i="65"/>
  <c r="H11" i="66"/>
  <c r="G11" i="66"/>
  <c r="F23" i="65"/>
  <c r="E23" i="65"/>
  <c r="F21" i="65"/>
  <c r="E21" i="65"/>
  <c r="F20" i="65"/>
  <c r="E20" i="65"/>
  <c r="F18" i="65"/>
  <c r="E18" i="65"/>
  <c r="F17" i="65"/>
  <c r="E17" i="65"/>
  <c r="F16" i="65"/>
  <c r="E16" i="65"/>
  <c r="F15" i="65"/>
  <c r="E15" i="65"/>
  <c r="F14" i="65"/>
  <c r="E14" i="65"/>
  <c r="F13" i="65"/>
  <c r="E13" i="65"/>
  <c r="F12" i="65"/>
  <c r="E12" i="65"/>
  <c r="F11" i="65"/>
  <c r="E11" i="65"/>
  <c r="F10" i="65"/>
  <c r="E10" i="65"/>
  <c r="H12" i="70"/>
  <c r="G12" i="70"/>
  <c r="F12" i="70"/>
  <c r="F24" i="69"/>
  <c r="E24" i="69"/>
  <c r="F22" i="69"/>
  <c r="E22" i="69"/>
  <c r="H11" i="70"/>
  <c r="G11" i="70"/>
  <c r="F23" i="69"/>
  <c r="E23" i="69"/>
  <c r="F21" i="69"/>
  <c r="E21" i="69"/>
  <c r="F20" i="69"/>
  <c r="E20" i="69"/>
  <c r="F18" i="69"/>
  <c r="E18" i="69"/>
  <c r="F17" i="69"/>
  <c r="E17" i="69"/>
  <c r="F16" i="69"/>
  <c r="E16" i="69"/>
  <c r="F15" i="69"/>
  <c r="E15" i="69"/>
  <c r="F14" i="69"/>
  <c r="E14" i="69"/>
  <c r="F13" i="69"/>
  <c r="E13" i="69"/>
  <c r="F12" i="69"/>
  <c r="E12" i="69"/>
  <c r="F11" i="69"/>
  <c r="E11" i="69"/>
  <c r="F10" i="69"/>
  <c r="E10" i="69"/>
  <c r="H12" i="68"/>
  <c r="G12" i="68"/>
  <c r="F12" i="68"/>
  <c r="F24" i="67"/>
  <c r="E24" i="67"/>
  <c r="F22" i="67"/>
  <c r="E22" i="67"/>
  <c r="H11" i="68"/>
  <c r="G11" i="68"/>
  <c r="F23" i="67"/>
  <c r="E23" i="67"/>
  <c r="F21" i="67"/>
  <c r="E21" i="67"/>
  <c r="F20" i="67"/>
  <c r="E20" i="67"/>
  <c r="F18" i="67"/>
  <c r="E18" i="67"/>
  <c r="F17" i="67"/>
  <c r="E17" i="67"/>
  <c r="F16" i="67"/>
  <c r="E16" i="67"/>
  <c r="F15" i="67"/>
  <c r="E15" i="67"/>
  <c r="F14" i="67"/>
  <c r="E14" i="67"/>
  <c r="F13" i="67"/>
  <c r="E13" i="67"/>
  <c r="F12" i="67"/>
  <c r="E12" i="67"/>
  <c r="F11" i="67"/>
  <c r="E11" i="67"/>
  <c r="F10" i="67"/>
  <c r="E10" i="67"/>
  <c r="D11" i="67"/>
  <c r="D10" i="67"/>
  <c r="H12" i="76"/>
  <c r="F24" i="75"/>
  <c r="F22" i="75"/>
  <c r="H13" i="76"/>
  <c r="H11" i="76"/>
  <c r="F23" i="75"/>
  <c r="F21" i="75"/>
  <c r="F20" i="75"/>
  <c r="F18" i="75"/>
  <c r="F17" i="75"/>
  <c r="F16" i="75"/>
  <c r="F15" i="75"/>
  <c r="F14" i="75"/>
  <c r="F13" i="75"/>
  <c r="F12" i="75"/>
  <c r="F11" i="75"/>
  <c r="F10" i="75"/>
  <c r="E12" i="70" l="1"/>
  <c r="D12" i="70"/>
  <c r="E11" i="70"/>
  <c r="F11" i="70" s="1"/>
  <c r="D11" i="70"/>
  <c r="E12" i="68"/>
  <c r="D12" i="68"/>
  <c r="E11" i="68"/>
  <c r="F11" i="68" s="1"/>
  <c r="D11" i="68"/>
  <c r="D24" i="69" l="1"/>
  <c r="D22" i="69"/>
  <c r="D21" i="69"/>
  <c r="D20" i="69"/>
  <c r="D15" i="69"/>
  <c r="D14" i="69"/>
  <c r="D13" i="69"/>
  <c r="D12" i="69"/>
  <c r="D24" i="67"/>
  <c r="D22" i="67"/>
  <c r="D21" i="67"/>
  <c r="D20" i="67"/>
  <c r="D15" i="67"/>
  <c r="D14" i="67"/>
  <c r="D13" i="67"/>
  <c r="D12" i="67"/>
  <c r="D33" i="69"/>
  <c r="D32" i="69"/>
  <c r="D33" i="67"/>
  <c r="D32" i="67"/>
  <c r="D33" i="65"/>
  <c r="D32" i="65"/>
  <c r="D23" i="69" l="1"/>
  <c r="D23" i="67"/>
  <c r="E11" i="66" l="1"/>
  <c r="F11" i="66" s="1"/>
  <c r="D11" i="66"/>
  <c r="E12" i="66"/>
  <c r="D12" i="66"/>
  <c r="D24" i="65"/>
  <c r="D22" i="65"/>
  <c r="D21" i="65"/>
  <c r="D20" i="65"/>
  <c r="D15" i="65"/>
  <c r="D14" i="65"/>
  <c r="D13" i="65"/>
  <c r="D12" i="65"/>
  <c r="E11" i="64"/>
  <c r="F11" i="64" s="1"/>
  <c r="D11" i="64"/>
  <c r="D23" i="65" l="1"/>
  <c r="E26" i="60" l="1"/>
  <c r="F26" i="60"/>
  <c r="G26" i="60"/>
  <c r="D26" i="60"/>
  <c r="H26" i="60"/>
  <c r="E13" i="60"/>
  <c r="F13" i="60" s="1"/>
  <c r="D13" i="60"/>
  <c r="E11" i="60"/>
  <c r="F11" i="60" s="1"/>
  <c r="D11" i="60"/>
  <c r="D35" i="59"/>
  <c r="D34" i="59"/>
  <c r="D33" i="59"/>
  <c r="D32" i="59"/>
  <c r="D31" i="59"/>
  <c r="E12" i="60"/>
  <c r="D12" i="60"/>
  <c r="E12" i="64"/>
  <c r="D12" i="64"/>
  <c r="E13" i="62"/>
  <c r="F13" i="62" s="1"/>
  <c r="D13" i="62"/>
  <c r="E11" i="62"/>
  <c r="F11" i="62" s="1"/>
  <c r="D11" i="62"/>
  <c r="E12" i="62"/>
  <c r="D12" i="62"/>
  <c r="H27" i="62"/>
  <c r="H26" i="62"/>
  <c r="E27" i="62"/>
  <c r="F27" i="62"/>
  <c r="G27" i="62"/>
  <c r="D27" i="62"/>
  <c r="E26" i="62"/>
  <c r="F26" i="62"/>
  <c r="G26" i="62"/>
  <c r="D26" i="62"/>
  <c r="H20" i="62"/>
  <c r="E20" i="62"/>
  <c r="F20" i="62"/>
  <c r="G20" i="62"/>
  <c r="D20" i="62"/>
  <c r="E15" i="62"/>
  <c r="E15" i="60" s="1"/>
  <c r="F15" i="62"/>
  <c r="F15" i="60" s="1"/>
  <c r="G15" i="62"/>
  <c r="G15" i="60" s="1"/>
  <c r="D15" i="62"/>
  <c r="D15" i="64" s="1"/>
  <c r="H15" i="62"/>
  <c r="H15" i="60" s="1"/>
  <c r="H14" i="62"/>
  <c r="H14" i="60" s="1"/>
  <c r="F14" i="62"/>
  <c r="F14" i="64" s="1"/>
  <c r="D14" i="62"/>
  <c r="D14" i="60" s="1"/>
  <c r="H14" i="64" l="1"/>
  <c r="H15" i="64"/>
  <c r="G15" i="64"/>
  <c r="D15" i="60"/>
  <c r="F15" i="64"/>
  <c r="E15" i="64"/>
  <c r="F14" i="60"/>
  <c r="D14" i="64"/>
  <c r="D15" i="59"/>
  <c r="D14" i="59"/>
  <c r="D13" i="59"/>
  <c r="D12" i="59"/>
  <c r="D15" i="63"/>
  <c r="D14" i="63"/>
  <c r="D13" i="63"/>
  <c r="D12" i="63"/>
  <c r="D24" i="59"/>
  <c r="D23" i="59"/>
  <c r="D22" i="59"/>
  <c r="D21" i="59"/>
  <c r="D20" i="59"/>
  <c r="D24" i="63"/>
  <c r="D22" i="63"/>
  <c r="D21" i="63"/>
  <c r="D20" i="63"/>
  <c r="D34" i="63"/>
  <c r="D33" i="63"/>
  <c r="D32" i="63"/>
  <c r="D31" i="63"/>
  <c r="F11" i="92"/>
  <c r="F12" i="92" s="1"/>
  <c r="D35" i="61"/>
  <c r="D34" i="61"/>
  <c r="D33" i="61"/>
  <c r="D32" i="61"/>
  <c r="D31" i="61"/>
  <c r="E11" i="90"/>
  <c r="D11" i="90"/>
  <c r="D23" i="63" l="1"/>
  <c r="F11" i="90"/>
  <c r="D24" i="61"/>
  <c r="D22" i="61"/>
  <c r="D21" i="61"/>
  <c r="D20" i="61"/>
  <c r="D15" i="61"/>
  <c r="D14" i="61"/>
  <c r="D13" i="61"/>
  <c r="D12" i="61"/>
  <c r="D24" i="91"/>
  <c r="D22" i="91"/>
  <c r="D21" i="91"/>
  <c r="D20" i="91"/>
  <c r="D31" i="87"/>
  <c r="D34" i="91"/>
  <c r="D33" i="91"/>
  <c r="D32" i="91"/>
  <c r="E11" i="88"/>
  <c r="F11" i="88" s="1"/>
  <c r="D11" i="88"/>
  <c r="D11" i="91"/>
  <c r="D10" i="91"/>
  <c r="D23" i="91" l="1"/>
  <c r="D23" i="61"/>
  <c r="D31" i="91"/>
  <c r="D31" i="89"/>
  <c r="D15" i="91"/>
  <c r="D14" i="91"/>
  <c r="D13" i="91"/>
  <c r="D12" i="91"/>
  <c r="D24" i="89"/>
  <c r="D22" i="89"/>
  <c r="D21" i="89"/>
  <c r="D20" i="89"/>
  <c r="D15" i="89"/>
  <c r="D14" i="89"/>
  <c r="D13" i="89"/>
  <c r="D12" i="89"/>
  <c r="D23" i="89" l="1"/>
  <c r="D11" i="89"/>
  <c r="D10" i="89"/>
  <c r="D48" i="83" l="1"/>
  <c r="D48" i="71"/>
  <c r="D48" i="79"/>
  <c r="D48" i="73"/>
  <c r="D48" i="77"/>
  <c r="D48" i="81"/>
  <c r="D48" i="87"/>
  <c r="D48" i="89"/>
  <c r="D48" i="91"/>
  <c r="D48" i="61"/>
  <c r="D48" i="63"/>
  <c r="D48" i="59"/>
  <c r="D48" i="65"/>
  <c r="D48" i="67"/>
  <c r="D48" i="69"/>
  <c r="D48" i="75"/>
  <c r="D22" i="87"/>
  <c r="D24" i="87"/>
  <c r="D21" i="87"/>
  <c r="D20" i="87"/>
  <c r="D15" i="87"/>
  <c r="D14" i="87"/>
  <c r="D13" i="87"/>
  <c r="D12" i="87"/>
  <c r="E12" i="90"/>
  <c r="D12" i="90"/>
  <c r="E12" i="88"/>
  <c r="D12" i="88"/>
  <c r="E11" i="82"/>
  <c r="F11" i="82" s="1"/>
  <c r="D11" i="82"/>
  <c r="D12" i="82"/>
  <c r="E12" i="76"/>
  <c r="D12" i="76"/>
  <c r="E12" i="72"/>
  <c r="D12" i="72"/>
  <c r="E12" i="80"/>
  <c r="D12" i="80"/>
  <c r="E12" i="74"/>
  <c r="D12" i="74"/>
  <c r="E12" i="78"/>
  <c r="D12" i="78"/>
  <c r="E12" i="82"/>
  <c r="D23" i="87" l="1"/>
  <c r="F13" i="92"/>
  <c r="D34" i="81"/>
  <c r="D33" i="81"/>
  <c r="D32" i="81"/>
  <c r="D31" i="81"/>
  <c r="D24" i="81"/>
  <c r="D22" i="81"/>
  <c r="D21" i="81"/>
  <c r="D20" i="81"/>
  <c r="D15" i="81"/>
  <c r="D14" i="81"/>
  <c r="D13" i="81"/>
  <c r="D12" i="81"/>
  <c r="H27" i="78"/>
  <c r="E27" i="78"/>
  <c r="F27" i="78"/>
  <c r="G27" i="78"/>
  <c r="D27" i="78"/>
  <c r="E13" i="78"/>
  <c r="F13" i="78" s="1"/>
  <c r="D13" i="78"/>
  <c r="E11" i="78"/>
  <c r="F11" i="78" s="1"/>
  <c r="D11" i="78"/>
  <c r="D35" i="77"/>
  <c r="D34" i="77"/>
  <c r="D32" i="77"/>
  <c r="D33" i="77"/>
  <c r="D31" i="77"/>
  <c r="D24" i="77"/>
  <c r="D22" i="77"/>
  <c r="D21" i="77"/>
  <c r="D20" i="77"/>
  <c r="E27" i="76"/>
  <c r="F27" i="76"/>
  <c r="G27" i="76"/>
  <c r="D27" i="76"/>
  <c r="E26" i="76"/>
  <c r="F26" i="76"/>
  <c r="G26" i="76"/>
  <c r="D26" i="76"/>
  <c r="E20" i="76"/>
  <c r="F20" i="76"/>
  <c r="G20" i="76"/>
  <c r="D20" i="76"/>
  <c r="G13" i="76"/>
  <c r="G11" i="76"/>
  <c r="G12" i="76"/>
  <c r="F12" i="76"/>
  <c r="H27" i="76"/>
  <c r="H26" i="76"/>
  <c r="E15" i="76"/>
  <c r="F15" i="76"/>
  <c r="G15" i="76"/>
  <c r="D15" i="76"/>
  <c r="F14" i="76"/>
  <c r="D14" i="76"/>
  <c r="E13" i="76"/>
  <c r="F13" i="76" s="1"/>
  <c r="D13" i="76"/>
  <c r="E11" i="76"/>
  <c r="F11" i="76" s="1"/>
  <c r="D11" i="76"/>
  <c r="D24" i="75"/>
  <c r="D22" i="75"/>
  <c r="D23" i="75"/>
  <c r="D21" i="75"/>
  <c r="D20" i="75"/>
  <c r="D15" i="75"/>
  <c r="D14" i="75"/>
  <c r="D13" i="75"/>
  <c r="D12" i="75"/>
  <c r="D11" i="75"/>
  <c r="D10" i="75"/>
  <c r="G11" i="74"/>
  <c r="F11" i="74"/>
  <c r="E13" i="74"/>
  <c r="F13" i="74" s="1"/>
  <c r="D13" i="74"/>
  <c r="E11" i="74"/>
  <c r="D11" i="74"/>
  <c r="D14" i="77"/>
  <c r="D15" i="77"/>
  <c r="D13" i="77"/>
  <c r="D12" i="77"/>
  <c r="H27" i="74"/>
  <c r="H27" i="72"/>
  <c r="H26" i="72"/>
  <c r="H26" i="88" s="1"/>
  <c r="E27" i="74"/>
  <c r="F27" i="74"/>
  <c r="G27" i="74"/>
  <c r="D27" i="74"/>
  <c r="E19" i="74"/>
  <c r="E19" i="78" s="1"/>
  <c r="F19" i="74"/>
  <c r="F19" i="78" s="1"/>
  <c r="G19" i="74"/>
  <c r="G19" i="78" s="1"/>
  <c r="D19" i="74"/>
  <c r="D19" i="78" s="1"/>
  <c r="D35" i="73"/>
  <c r="D34" i="73"/>
  <c r="D33" i="73"/>
  <c r="D32" i="73"/>
  <c r="D31" i="73"/>
  <c r="D24" i="73"/>
  <c r="D22" i="73"/>
  <c r="D23" i="73"/>
  <c r="D21" i="73"/>
  <c r="D20" i="73"/>
  <c r="D15" i="73"/>
  <c r="D14" i="73"/>
  <c r="D13" i="73"/>
  <c r="D12" i="73"/>
  <c r="H26" i="92" l="1"/>
  <c r="H26" i="90"/>
  <c r="E13" i="72" l="1"/>
  <c r="F13" i="72" s="1"/>
  <c r="D13" i="72"/>
  <c r="E11" i="72"/>
  <c r="F11" i="72" s="1"/>
  <c r="D11" i="72"/>
  <c r="E13" i="80"/>
  <c r="F13" i="80" s="1"/>
  <c r="D13" i="80"/>
  <c r="E11" i="80"/>
  <c r="F11" i="80" s="1"/>
  <c r="D11" i="80"/>
  <c r="D14" i="72"/>
  <c r="D14" i="88" l="1"/>
  <c r="D14" i="82"/>
  <c r="D14" i="74"/>
  <c r="D14" i="78"/>
  <c r="D14" i="80"/>
  <c r="D14" i="92" l="1"/>
  <c r="D14" i="90"/>
  <c r="E27" i="72" l="1"/>
  <c r="D27" i="72"/>
  <c r="E26" i="72"/>
  <c r="D26" i="72"/>
  <c r="E18" i="72"/>
  <c r="D18" i="72"/>
  <c r="E15" i="72"/>
  <c r="D15" i="72"/>
  <c r="F14" i="72"/>
  <c r="H26" i="78"/>
  <c r="H26" i="74"/>
  <c r="G27" i="72"/>
  <c r="F27" i="72"/>
  <c r="D26" i="88" l="1"/>
  <c r="D26" i="78"/>
  <c r="D26" i="74"/>
  <c r="D15" i="88"/>
  <c r="D15" i="82"/>
  <c r="D15" i="78"/>
  <c r="D15" i="74"/>
  <c r="D15" i="80"/>
  <c r="E26" i="88"/>
  <c r="E26" i="74"/>
  <c r="E26" i="78"/>
  <c r="E15" i="88"/>
  <c r="E15" i="78"/>
  <c r="E15" i="74"/>
  <c r="E15" i="82"/>
  <c r="E15" i="80"/>
  <c r="F14" i="88"/>
  <c r="F14" i="78"/>
  <c r="F14" i="82"/>
  <c r="F14" i="74"/>
  <c r="F14" i="80"/>
  <c r="G26" i="72"/>
  <c r="F26" i="72"/>
  <c r="G18" i="72"/>
  <c r="F18" i="72"/>
  <c r="G15" i="72"/>
  <c r="F15" i="72"/>
  <c r="D34" i="79"/>
  <c r="D33" i="79"/>
  <c r="D32" i="79"/>
  <c r="D31" i="79"/>
  <c r="D24" i="79"/>
  <c r="D22" i="79"/>
  <c r="D23" i="79"/>
  <c r="D21" i="79"/>
  <c r="D20" i="79"/>
  <c r="E15" i="92" l="1"/>
  <c r="E15" i="90"/>
  <c r="D15" i="92"/>
  <c r="D15" i="90"/>
  <c r="F15" i="88"/>
  <c r="F15" i="82"/>
  <c r="F15" i="78"/>
  <c r="F15" i="74"/>
  <c r="F15" i="80"/>
  <c r="F26" i="88"/>
  <c r="F26" i="74"/>
  <c r="F26" i="78"/>
  <c r="G15" i="88"/>
  <c r="G15" i="82"/>
  <c r="G15" i="78"/>
  <c r="G15" i="74"/>
  <c r="G15" i="80"/>
  <c r="G26" i="88"/>
  <c r="G26" i="78"/>
  <c r="G26" i="74"/>
  <c r="E26" i="92"/>
  <c r="E26" i="90"/>
  <c r="D26" i="92"/>
  <c r="D26" i="90"/>
  <c r="F14" i="92"/>
  <c r="F14" i="90"/>
  <c r="D35" i="71"/>
  <c r="D34" i="71"/>
  <c r="D31" i="71"/>
  <c r="G26" i="92" l="1"/>
  <c r="G26" i="90"/>
  <c r="F26" i="92"/>
  <c r="F26" i="90"/>
  <c r="G15" i="92"/>
  <c r="G15" i="90"/>
  <c r="F15" i="92"/>
  <c r="F15" i="90"/>
  <c r="D33" i="71"/>
  <c r="D32" i="71"/>
  <c r="D33" i="75" l="1"/>
  <c r="D32" i="75"/>
  <c r="D31" i="75" l="1"/>
  <c r="D34" i="75" l="1"/>
  <c r="D35" i="75"/>
  <c r="D24" i="71" l="1"/>
  <c r="D23" i="71"/>
  <c r="D22" i="71"/>
  <c r="D21" i="71"/>
  <c r="D20" i="71"/>
  <c r="H14" i="76" l="1"/>
  <c r="H20" i="76" l="1"/>
  <c r="H15" i="76" l="1"/>
  <c r="H14" i="72" l="1"/>
  <c r="H14" i="88" l="1"/>
  <c r="H14" i="82"/>
  <c r="H14" i="78"/>
  <c r="H14" i="74"/>
  <c r="H14" i="80"/>
  <c r="H14" i="90" l="1"/>
  <c r="H14" i="92"/>
  <c r="H18" i="72"/>
  <c r="H19" i="74" l="1"/>
  <c r="H19" i="78" s="1"/>
  <c r="H15" i="72"/>
  <c r="H15" i="88" l="1"/>
  <c r="H15" i="82"/>
  <c r="H15" i="78"/>
  <c r="H15" i="74"/>
  <c r="H15" i="80"/>
  <c r="H15" i="90" l="1"/>
  <c r="H15" i="92"/>
  <c r="D15" i="71"/>
  <c r="D14" i="71"/>
  <c r="D13" i="71"/>
  <c r="D12" i="71"/>
  <c r="D11" i="87" l="1"/>
  <c r="D10" i="87"/>
  <c r="D11" i="79"/>
  <c r="D10" i="79"/>
  <c r="D11" i="71"/>
  <c r="D10" i="71"/>
  <c r="D11" i="73"/>
  <c r="D10" i="73"/>
  <c r="D11" i="69"/>
  <c r="D10" i="69"/>
  <c r="D11" i="65"/>
  <c r="D10" i="65"/>
  <c r="D11" i="59"/>
  <c r="D10" i="59"/>
  <c r="D11" i="63"/>
  <c r="D10" i="63"/>
  <c r="D11" i="61"/>
  <c r="D10" i="61"/>
  <c r="D11" i="81"/>
  <c r="D10" i="81"/>
  <c r="D11" i="77"/>
  <c r="D10" i="77"/>
  <c r="G14" i="76" l="1"/>
  <c r="D15" i="79" l="1"/>
  <c r="D14" i="79"/>
  <c r="D13" i="79"/>
  <c r="D12" i="79"/>
  <c r="D23" i="77" l="1"/>
  <c r="D23" i="81"/>
  <c r="A5" i="92" l="1"/>
  <c r="A5" i="91"/>
  <c r="H8" i="92"/>
  <c r="F8" i="92"/>
  <c r="D8" i="92"/>
  <c r="F8" i="91"/>
  <c r="E8" i="91"/>
  <c r="D8" i="91"/>
  <c r="A5" i="90"/>
  <c r="A5" i="89"/>
  <c r="H8" i="90"/>
  <c r="F8" i="90"/>
  <c r="D8" i="90"/>
  <c r="F8" i="89"/>
  <c r="E8" i="89"/>
  <c r="D8" i="89"/>
  <c r="A5" i="87"/>
  <c r="A5" i="88"/>
  <c r="H8" i="88"/>
  <c r="F8" i="88"/>
  <c r="D8" i="88"/>
  <c r="F8" i="87"/>
  <c r="E8" i="87"/>
  <c r="D8" i="87"/>
  <c r="A5" i="84"/>
  <c r="A5" i="83"/>
  <c r="K11" i="84" l="1"/>
  <c r="H8" i="84"/>
  <c r="F8" i="84"/>
  <c r="D8" i="84"/>
  <c r="F8" i="83"/>
  <c r="E8" i="83"/>
  <c r="D8" i="83"/>
  <c r="A5" i="81" l="1"/>
  <c r="A5" i="82"/>
  <c r="H8" i="82"/>
  <c r="F8" i="82"/>
  <c r="D8" i="82"/>
  <c r="F8" i="81"/>
  <c r="E8" i="81"/>
  <c r="D8" i="81"/>
  <c r="A5" i="79" l="1"/>
  <c r="A5" i="80"/>
  <c r="H8" i="80"/>
  <c r="F8" i="80"/>
  <c r="D8" i="80"/>
  <c r="F8" i="79"/>
  <c r="E8" i="79"/>
  <c r="D8" i="79"/>
  <c r="A5" i="78" l="1"/>
  <c r="A5" i="77"/>
  <c r="H8" i="78"/>
  <c r="F8" i="78"/>
  <c r="D8" i="78"/>
  <c r="F8" i="77"/>
  <c r="E8" i="77"/>
  <c r="D8" i="77"/>
  <c r="A5" i="75"/>
  <c r="A5" i="76"/>
  <c r="H8" i="76"/>
  <c r="F8" i="76"/>
  <c r="D8" i="76"/>
  <c r="F8" i="75"/>
  <c r="E8" i="75"/>
  <c r="D8" i="75"/>
  <c r="A5" i="73"/>
  <c r="A5" i="74"/>
  <c r="H8" i="74"/>
  <c r="F8" i="74"/>
  <c r="D8" i="74"/>
  <c r="F8" i="73"/>
  <c r="E8" i="73"/>
  <c r="D8" i="73"/>
  <c r="A5" i="72" l="1"/>
  <c r="A5" i="71"/>
  <c r="H8" i="72"/>
  <c r="F8" i="72"/>
  <c r="D8" i="72"/>
  <c r="F8" i="71"/>
  <c r="E8" i="71"/>
  <c r="D8" i="71"/>
  <c r="D31" i="67"/>
  <c r="A5" i="70"/>
  <c r="A5" i="69"/>
  <c r="A5" i="68"/>
  <c r="A5" i="67"/>
  <c r="H8" i="70"/>
  <c r="F8" i="70"/>
  <c r="D8" i="70"/>
  <c r="F8" i="69"/>
  <c r="E8" i="69"/>
  <c r="D8" i="69"/>
  <c r="H8" i="68"/>
  <c r="F8" i="68"/>
  <c r="D8" i="68"/>
  <c r="F8" i="67"/>
  <c r="E8" i="67"/>
  <c r="D8" i="67"/>
  <c r="D31" i="69" l="1"/>
  <c r="A5" i="66"/>
  <c r="A5" i="65"/>
  <c r="H8" i="66"/>
  <c r="F8" i="66"/>
  <c r="D8" i="66"/>
  <c r="F8" i="65"/>
  <c r="E8" i="65"/>
  <c r="D8" i="65"/>
  <c r="A5" i="64"/>
  <c r="A5" i="63"/>
  <c r="H8" i="64"/>
  <c r="F8" i="64"/>
  <c r="D8" i="64"/>
  <c r="F8" i="63"/>
  <c r="E8" i="63"/>
  <c r="D8" i="63"/>
  <c r="D31" i="65" l="1"/>
  <c r="A5" i="62" l="1"/>
  <c r="A5" i="61"/>
  <c r="H8" i="62"/>
  <c r="F8" i="62"/>
  <c r="D8" i="62"/>
  <c r="F8" i="61"/>
  <c r="E8" i="61"/>
  <c r="D8" i="61"/>
  <c r="H8" i="60" l="1"/>
  <c r="F8" i="60"/>
  <c r="D8" i="60"/>
  <c r="A5" i="59"/>
  <c r="A5" i="60"/>
  <c r="F8" i="59"/>
  <c r="D8" i="59"/>
  <c r="E8" i="59"/>
  <c r="B3" i="4"/>
  <c r="A2" i="4"/>
  <c r="K11" i="92" l="1"/>
  <c r="K13" i="78"/>
  <c r="K11" i="78"/>
  <c r="K11" i="82"/>
  <c r="K13" i="74"/>
  <c r="K11" i="74"/>
  <c r="K13" i="72"/>
  <c r="K11" i="72"/>
  <c r="K13" i="80"/>
  <c r="K11" i="80"/>
  <c r="K11" i="90"/>
  <c r="K13" i="60"/>
  <c r="K11" i="60"/>
  <c r="K11" i="64"/>
  <c r="K11" i="88"/>
  <c r="K13" i="62"/>
  <c r="K11" i="62"/>
  <c r="K11" i="70" l="1"/>
  <c r="K11" i="68" l="1"/>
  <c r="K11" i="66"/>
  <c r="K13" i="76" l="1"/>
  <c r="K11" i="76" l="1"/>
</calcChain>
</file>

<file path=xl/sharedStrings.xml><?xml version="1.0" encoding="utf-8"?>
<sst xmlns="http://schemas.openxmlformats.org/spreadsheetml/2006/main" count="3323" uniqueCount="201">
  <si>
    <t>Аргаяшская ТЭЦ без ДПМ/НВ</t>
  </si>
  <si>
    <t>№ п/п</t>
  </si>
  <si>
    <t>ИНН</t>
  </si>
  <si>
    <t>КПП</t>
  </si>
  <si>
    <t>Фактический адрес</t>
  </si>
  <si>
    <t>7203162698</t>
  </si>
  <si>
    <t>Чуваев Александр Анатольевич</t>
  </si>
  <si>
    <t>fortum@fortum.ru</t>
  </si>
  <si>
    <t xml:space="preserve">+ 7 351 259-64-09
</t>
  </si>
  <si>
    <t>Наименование показателей</t>
  </si>
  <si>
    <t>Единица измерения</t>
  </si>
  <si>
    <t>Необходимая валовая выручка - всего</t>
  </si>
  <si>
    <t>Показатели численности персонала и фонда оплаты труда по регулируемым видам деятельности</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</si>
  <si>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</si>
  <si>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</si>
  <si>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</si>
  <si>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</si>
  <si>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Амортизация</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</si>
  <si>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</si>
  <si>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</si>
  <si>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</si>
  <si>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</si>
  <si>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1-е полугодие</t>
  </si>
  <si>
    <t>2-е полугодие</t>
  </si>
  <si>
    <t>Челябинская ТЭЦ-2</t>
  </si>
  <si>
    <t>Тюменская ТЭЦ-2</t>
  </si>
  <si>
    <t>Тюменская ТЭЦ-1 без ДПМ/НВ</t>
  </si>
  <si>
    <t>Челябинская ТЭЦ-1 (ТГ-10, ТГ-11) НВ</t>
  </si>
  <si>
    <t>Челябинская ТЭЦ-3 без ДПМ/НВ</t>
  </si>
  <si>
    <t>Аргаяшская ТЭЦ (ТГ 4)</t>
  </si>
  <si>
    <t>Челябинская ГРЭС без ДПМ/НВ</t>
  </si>
  <si>
    <t>Челябинская ТЭЦ-1 без ДПМ/НВ</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</si>
  <si>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</si>
  <si>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</si>
  <si>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</si>
  <si>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МВт</t>
  </si>
  <si>
    <t>г/кВтч</t>
  </si>
  <si>
    <t>ПРЕДЛОЖЕНИЕ</t>
  </si>
  <si>
    <t>Раздел 1. Информация об организации</t>
  </si>
  <si>
    <t>Раздел 2. Основные показатели деятельности генерирующих объектов</t>
  </si>
  <si>
    <t>от производства электрической энергии</t>
  </si>
  <si>
    <t>Раздел 3. Цены (тарифы) по регулируемым видам деятельности организации</t>
  </si>
  <si>
    <t>Челябинская ТЭЦ-3 (БЛ 3) ДПМ</t>
  </si>
  <si>
    <t>Тюменская ТЭЦ-1 (БЛ 2) ДПМ</t>
  </si>
  <si>
    <t>Челябинская ГРЭС (БЛ 1) ДПМ</t>
  </si>
  <si>
    <t>Челябинская ГРЭС (БЛ 3) НВ</t>
  </si>
  <si>
    <t>средний одноставочный тариф на тепловую энергию</t>
  </si>
  <si>
    <t>руб./Гкал</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</si>
  <si>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</si>
  <si>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</si>
  <si>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</si>
  <si>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</si>
  <si>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</si>
  <si>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</si>
  <si>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</si>
  <si>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</si>
  <si>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</si>
  <si>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</si>
  <si>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тариф на тепловую энергию</t>
  </si>
  <si>
    <t>средний тариф на теплоноситель, в т.ч.</t>
  </si>
  <si>
    <t>вода</t>
  </si>
  <si>
    <t>пар</t>
  </si>
  <si>
    <t>подлежащих регулированию в соответствии с Основами ценообразования в области регулируемых цен (тарифов) в электроэнергетике, утвержденными постановлением Правительства Российской Федерации от 29 декабря 2011 г. N 1178,</t>
  </si>
  <si>
    <t>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</si>
  <si>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</si>
  <si>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</si>
  <si>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</si>
  <si>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</si>
  <si>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</si>
  <si>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t>Челябинская ГРЭС (БЛ 2) ДПМ</t>
  </si>
  <si>
    <t>Няганская ГРЭС (БЛ 1) ДПМ</t>
  </si>
  <si>
    <t>Няганская ГРЭС (БЛ 2) ДПМ</t>
  </si>
  <si>
    <t>Няганская ГРЭС (БЛ 3) ДПМ</t>
  </si>
  <si>
    <t>Аргаяшская ТЭЦ (ТГ 4) НВ</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</si>
  <si>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</si>
  <si>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Основные показатели деятельности генерирующих объектов
</t>
    </r>
    <r>
      <rPr>
        <sz val="9"/>
        <color theme="1"/>
        <rFont val="Tahoma"/>
        <family val="2"/>
        <charset val="204"/>
      </rPr>
      <t>(</t>
    </r>
    <r>
      <rPr>
        <i/>
        <u/>
        <sz val="9"/>
        <color theme="1"/>
        <rFont val="Tahoma"/>
        <family val="2"/>
        <charset val="204"/>
      </rPr>
      <t>Приложение № 4</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</si>
  <si>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</si>
  <si>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к предложению о размере цен (тарифов)</t>
  </si>
  <si>
    <t>Полное наименование</t>
  </si>
  <si>
    <t>Сокращенное наименование</t>
  </si>
  <si>
    <t>Место нахождения</t>
  </si>
  <si>
    <t>Адрес электронной почты</t>
  </si>
  <si>
    <t>Факс</t>
  </si>
  <si>
    <t>Приложение № 1</t>
  </si>
  <si>
    <t xml:space="preserve"> к предложению о размере
 цен (тарифов)</t>
  </si>
  <si>
    <t>ФИО руководителя</t>
  </si>
  <si>
    <t>Контактные телефоны</t>
  </si>
  <si>
    <t>№</t>
  </si>
  <si>
    <t>1.</t>
  </si>
  <si>
    <t>2.</t>
  </si>
  <si>
    <t>3.</t>
  </si>
  <si>
    <t>Производство электрической энергии</t>
  </si>
  <si>
    <t>4.</t>
  </si>
  <si>
    <t>Полезный отпуск электрической энергии</t>
  </si>
  <si>
    <t>5.</t>
  </si>
  <si>
    <t>Отпуск тепловой энергии с коллекторов</t>
  </si>
  <si>
    <t>тыс. Гкал</t>
  </si>
  <si>
    <t>6.</t>
  </si>
  <si>
    <t>Отпуск тепловой энергии в сеть</t>
  </si>
  <si>
    <t>7.</t>
  </si>
  <si>
    <t>тыс. рублей</t>
  </si>
  <si>
    <t>7.1.</t>
  </si>
  <si>
    <t>7.2.</t>
  </si>
  <si>
    <t>7.3.</t>
  </si>
  <si>
    <t>8.</t>
  </si>
  <si>
    <t>Топливо - всего</t>
  </si>
  <si>
    <t>8.1.</t>
  </si>
  <si>
    <t>топливо на электрическую энергию</t>
  </si>
  <si>
    <t>удельный расход условного топлива на электрическую энергию</t>
  </si>
  <si>
    <t>8.2.</t>
  </si>
  <si>
    <t>топливо на тепловую энергию</t>
  </si>
  <si>
    <t>удельный расход условного топлива на тепловую энергию</t>
  </si>
  <si>
    <t>кг/Гкал</t>
  </si>
  <si>
    <t>реквизиты решения по удельному расходу условного топлива на отпуск тепловой и электрической энергии</t>
  </si>
  <si>
    <t>9.</t>
  </si>
  <si>
    <t>10.</t>
  </si>
  <si>
    <t>10.1.</t>
  </si>
  <si>
    <t>среднесписочная численность персонала</t>
  </si>
  <si>
    <t>чел</t>
  </si>
  <si>
    <t>10.2.</t>
  </si>
  <si>
    <t>среднемесячная заработная плата на одного работника</t>
  </si>
  <si>
    <t>тыс. рублей на человека</t>
  </si>
  <si>
    <t>10.3.</t>
  </si>
  <si>
    <t>реквизиты отраслевого тарифного соглашения (дата утверждения, срок действия)</t>
  </si>
  <si>
    <t>11.</t>
  </si>
  <si>
    <t>Расходы на производство - всего</t>
  </si>
  <si>
    <t>11.1.</t>
  </si>
  <si>
    <t>11.2.</t>
  </si>
  <si>
    <t>11.3.</t>
  </si>
  <si>
    <t>12.</t>
  </si>
  <si>
    <t>Объем перекрестного субсидирования - всего</t>
  </si>
  <si>
    <t>12.1.</t>
  </si>
  <si>
    <t>12.2.</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</si>
  <si>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</si>
  <si>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</si>
  <si>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</si>
  <si>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</si>
  <si>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</si>
  <si>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</si>
  <si>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</si>
  <si>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</si>
  <si>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</si>
  <si>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</si>
  <si>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</si>
  <si>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</si>
  <si>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t>
  </si>
  <si>
    <t>17.</t>
  </si>
  <si>
    <t>Инвестиционная программа не утверждена</t>
  </si>
  <si>
    <t>&lt;*&gt; Базовый период - год, предшествующий расчетному периоду регулирования</t>
  </si>
  <si>
    <t>Фактические показатели за год, предшествующий базовому периоду</t>
  </si>
  <si>
    <t>Показатели, утвержденные на базовый период &lt;*&gt;</t>
  </si>
  <si>
    <t>Предложения на расчетный период регулирования</t>
  </si>
  <si>
    <r>
      <t>млн. кВт</t>
    </r>
    <r>
      <rPr>
        <sz val="10"/>
        <color theme="1"/>
        <rFont val="Calibri"/>
        <family val="2"/>
        <charset val="204"/>
      </rPr>
      <t>∙</t>
    </r>
    <r>
      <rPr>
        <sz val="10"/>
        <color theme="1"/>
        <rFont val="Tahoma"/>
        <family val="2"/>
        <charset val="204"/>
      </rPr>
      <t>ч</t>
    </r>
  </si>
  <si>
    <t>Единица изменения</t>
  </si>
  <si>
    <t>4.1.</t>
  </si>
  <si>
    <t>цена на электрическую энергию</t>
  </si>
  <si>
    <t>4.2.</t>
  </si>
  <si>
    <t>цена на генерирующую мощность</t>
  </si>
  <si>
    <t>руб./МВт в мес.</t>
  </si>
  <si>
    <t>4.3.</t>
  </si>
  <si>
    <t>4.3.1.</t>
  </si>
  <si>
    <t>4.3.2.</t>
  </si>
  <si>
    <t>4.3.3.</t>
  </si>
  <si>
    <t>4.4.</t>
  </si>
  <si>
    <t>4.4.1.</t>
  </si>
  <si>
    <t>4.4.2.</t>
  </si>
  <si>
    <t>4.5.</t>
  </si>
  <si>
    <t>&lt;*&gt; Базовый период - год, предшествующий расчетному периоду регулирования.</t>
  </si>
  <si>
    <r>
      <t>руб./тыс.кВт</t>
    </r>
    <r>
      <rPr>
        <sz val="10"/>
        <color theme="1"/>
        <rFont val="Calibri"/>
        <family val="2"/>
        <charset val="204"/>
      </rPr>
      <t>∙</t>
    </r>
    <r>
      <rPr>
        <sz val="10"/>
        <color theme="1"/>
        <rFont val="Tahoma"/>
        <family val="2"/>
        <charset val="204"/>
      </rPr>
      <t>ч</t>
    </r>
  </si>
  <si>
    <t>руб./куб. м</t>
  </si>
  <si>
    <t>4. Для генерирующих объектов</t>
  </si>
  <si>
    <t>в том числе топливная составляющая &lt;***&gt;</t>
  </si>
  <si>
    <t>&lt;**&gt; Для фактического периода указываются утвержденные тарифы.</t>
  </si>
  <si>
    <t xml:space="preserve">Фактические показатели за год, предшествующий базовому периоду &lt;**&gt; </t>
  </si>
  <si>
    <t>средний одноставочный тариф на тепловую энергию &lt;****&gt;</t>
  </si>
  <si>
    <t>Приложение № 5</t>
  </si>
  <si>
    <t>Приложение № 4</t>
  </si>
  <si>
    <t>Рентабельность продаж (величина прибыли от продажи в каждом рубле выручки) &lt;**&gt;</t>
  </si>
  <si>
    <t>Чистая прибыль (убыток) &lt;**&gt;</t>
  </si>
  <si>
    <t>11.4.</t>
  </si>
  <si>
    <t>относимые на другие виды деятельности</t>
  </si>
  <si>
    <t>&lt;***&gt; Топливная составляющая за фактический период рассчитана на основании фактически понесенных расходов (по данным бухгалтерского учета).</t>
  </si>
  <si>
    <t>&lt;****&gt; среднегодовой тариф на тепловую энергию по г. Челябинск.</t>
  </si>
  <si>
    <t>&lt;****&gt; среднегодовой тариф на тепловую энергию по г. Тюмень.</t>
  </si>
  <si>
    <t>Предложение о размере цен (тарифов) на электрическую энергию (мощность),</t>
  </si>
  <si>
    <t>о размере цен (тарифов) на электрическую энергию (мощность),</t>
  </si>
  <si>
    <t>&lt;**&gt; Показатель в целом по юридическому лицу на основании данных бухгалтерской отчетности (Форма № 2)</t>
  </si>
  <si>
    <t>&lt;****&gt; Для фактического и базового периода указаны цены (тарифы) на электрическую энергию и мощность, производимые с использованием генерирующих объектов, поставляющих мощность в вынужденном режиме</t>
  </si>
  <si>
    <t>цена на электрическую энергию &lt;****&gt;</t>
  </si>
  <si>
    <t>цена на генерирующую мощность &lt;****&gt;</t>
  </si>
  <si>
    <t>&lt;****&gt;  Для генерирующих объектов, вновь введенных в эксплуатацию, устанавливаются регулируемые цены (тарифы) на мощность, оплачиваемую по регулируемым договорам, на уровне цены (тарифа) на мощность, определенной по итогам конкурентного отбора мощности, в соответствии с пунктом 45 «Основ ценообразования в области регулируемых цен (тарифов) в электроэнергетике»</t>
  </si>
  <si>
    <t>Публичное акционерное общество "Фортум"</t>
  </si>
  <si>
    <t>ПАО "Фортум"</t>
  </si>
  <si>
    <t>454090, область Челябинская, г. Челябинск, проспект Ленина, дом 28Д, эт/пом 7/9</t>
  </si>
  <si>
    <t>+7 495 788-45-88
+7 351 259-64-79
+7 495 788-46-75
+7 985 85 00 134</t>
  </si>
  <si>
    <t>Приказ Минэнерго России от 23.09.2015 № 667</t>
  </si>
  <si>
    <t>Цена КОМ &lt;****&gt;</t>
  </si>
  <si>
    <t>Инвестиционная программа в сфере теплоснабжения не утверждена</t>
  </si>
  <si>
    <t>"Инвестиционная программа открытого акционерного общества "Фортум" в сфере теплоснабжения г. Тюмени на 2017-2018 годы с учетом изменений", утверждена приказом Департамента тарифной и ценовой политики Тюменской области № 80/01-05-ОС от 25.07.2017 г., электронный адрес размещения: https://www.fortum.ru/raskrytie-informacii-v-sfere-teplosnabzenia</t>
  </si>
  <si>
    <t>"Инвестиционная программа открытого акционерного общества "Фортум" в сфере теплоснабжения г. Тюмень на 2017 год", утверждена приказом Департамента тарифной и ценовой политики Тюменской области № 88/01-05-ОС от 28.10.2016 г., электронный адрес размещения: https://www.fortum.ru/raskrytie-informacii-v-sfere-teplosnabzenia</t>
  </si>
  <si>
    <r>
      <t xml:space="preserve">"Инвестиционная программа публичного акционерного общества "Фортум" в сфере теплоснабжения города Челябинск на 2018 год", утверждена постановлением Министерства тарифного регулирования и энергетики Челябинской области № 52/10 от 30.10.2017 г., электронный адрес размещения: </t>
    </r>
    <r>
      <rPr>
        <u/>
        <sz val="10"/>
        <color theme="1"/>
        <rFont val="Tahoma"/>
        <family val="2"/>
        <charset val="204"/>
      </rPr>
      <t>https://www.fortum.ru/raskrytie-informacii-v-sfere-teplosnabzenia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</si>
</sst>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_-* #,##0.00[$€-1]_-;\-* #,##0.00[$€-1]_-;_-* &quot;-&quot;??[$€-1]_-"/>
    <numFmt numFmtId="166" formatCode="&quot;$&quot;#,##0_);[Red]\(&quot;$&quot;#,##0\)"/>
    <numFmt numFmtId="167" formatCode="#,##0_ ;\-#,##0\ "/>
  </numFmts>
  <fonts count="39">
    <font>
      <sz val="11"/>
      <color theme="1"/>
      <name val="Calibri"/>
      <family val="2"/>
      <charset val="204"/>
      <scheme val="minor"/>
    </font>
    <font>
      <sz val="9"/>
      <color theme="1"/>
      <name val="Tahoma"/>
      <family val="2"/>
      <charset val="204"/>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u/>
      <sz val="10"/>
      <color theme="10"/>
      <name val="Calibri"/>
      <family val="2"/>
      <charset val="204"/>
      <scheme val="minor"/>
    </font>
    <font>
      <sz val="8"/>
      <color theme="1"/>
      <name val="Tahoma"/>
      <family val="2"/>
      <charset val="204"/>
    </font>
    <font>
      <sz val="10"/>
      <color theme="1"/>
      <name val="Calibri"/>
      <family val="2"/>
      <charset val="204"/>
    </font>
    <font>
      <u/>
      <sz val="9"/>
      <color rgb="FF0000FF"/>
      <name val="Tahoma"/>
      <family val="2"/>
      <charset val="204"/>
    </font>
    <font>
      <sz val="10"/>
      <color theme="1"/>
      <name val="Calibri"/>
      <family val="2"/>
      <charset val="204"/>
      <scheme val="minor"/>
    </font>
    <font>
      <u/>
      <sz val="10"/>
      <color theme="1"/>
      <name val="Tahoma"/>
      <family val="2"/>
      <charset val="204"/>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32">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s>
  <cellStyleXfs count="67">
    <xf numFmtId="0" fontId="0" fillId="0" borderId="0"/>
    <xf numFmtId="0" fontId="2" fillId="0" borderId="0"/>
    <xf numFmtId="4" fontId="4" fillId="2" borderId="0" applyBorder="0">
      <alignment horizontal="right"/>
    </xf>
    <xf numFmtId="49" fontId="4" fillId="0" borderId="0" applyBorder="0">
      <alignment vertical="top"/>
    </xf>
    <xf numFmtId="0" fontId="5" fillId="3" borderId="1" applyNumberFormat="0" applyFont="0" applyFill="0" applyAlignment="0" applyProtection="0">
      <alignment horizontal="center" vertical="center" wrapText="1"/>
    </xf>
    <xf numFmtId="0" fontId="8" fillId="0" borderId="0"/>
    <xf numFmtId="165"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6"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5" borderId="2"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18" fillId="6" borderId="3" applyNumberFormat="0">
      <alignment horizontal="center"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 fillId="7" borderId="1" applyNumberFormat="0" applyFont="0" applyAlignment="0" applyProtection="0">
      <alignment horizontal="center" vertical="center" wrapText="1"/>
    </xf>
    <xf numFmtId="0" fontId="23" fillId="0" borderId="0" applyBorder="0">
      <alignment horizontal="center" vertical="center" wrapText="1"/>
    </xf>
    <xf numFmtId="0" fontId="5" fillId="0" borderId="4" applyBorder="0">
      <alignment horizontal="center" vertical="center" wrapText="1"/>
    </xf>
    <xf numFmtId="4" fontId="4" fillId="4" borderId="5" applyBorder="0">
      <alignment horizontal="right"/>
    </xf>
    <xf numFmtId="4" fontId="3" fillId="3" borderId="6">
      <alignment horizontal="right" vertical="center"/>
      <protection locked="0"/>
    </xf>
    <xf numFmtId="49" fontId="4" fillId="0" borderId="0" applyBorder="0">
      <alignment vertical="top"/>
    </xf>
    <xf numFmtId="0" fontId="6" fillId="0" borderId="0"/>
    <xf numFmtId="0" fontId="6" fillId="0" borderId="0"/>
    <xf numFmtId="0" fontId="6" fillId="0" borderId="0"/>
    <xf numFmtId="0" fontId="7" fillId="0" borderId="0"/>
    <xf numFmtId="0" fontId="24" fillId="7" borderId="0" applyNumberFormat="0" applyBorder="0" applyAlignment="0">
      <alignment horizontal="left" vertical="center"/>
    </xf>
    <xf numFmtId="49" fontId="4" fillId="0" borderId="0" applyBorder="0">
      <alignment vertical="top"/>
    </xf>
    <xf numFmtId="0" fontId="2" fillId="0" borderId="0"/>
    <xf numFmtId="0" fontId="4" fillId="0" borderId="0" applyNumberFormat="0" applyFont="0" applyAlignment="0" applyProtection="0">
      <alignment horizontal="left" vertical="center"/>
    </xf>
    <xf numFmtId="0" fontId="2" fillId="0" borderId="0"/>
    <xf numFmtId="49" fontId="4" fillId="7" borderId="0" applyBorder="0">
      <alignment vertical="top"/>
    </xf>
    <xf numFmtId="49" fontId="4" fillId="0" borderId="0" applyBorder="0">
      <alignment vertical="top"/>
    </xf>
    <xf numFmtId="0" fontId="2" fillId="0" borderId="0"/>
    <xf numFmtId="0" fontId="25" fillId="8" borderId="6" applyNumberFormat="0" applyAlignment="0">
      <alignment horizontal="center" vertical="center"/>
    </xf>
    <xf numFmtId="9" fontId="2" fillId="0" borderId="0" applyFont="0" applyFill="0" applyBorder="0" applyAlignment="0" applyProtection="0"/>
    <xf numFmtId="0" fontId="8" fillId="0" borderId="0"/>
    <xf numFmtId="164" fontId="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 fontId="4" fillId="2" borderId="0" applyFont="0" applyBorder="0">
      <alignment horizontal="right"/>
    </xf>
    <xf numFmtId="4" fontId="4" fillId="2" borderId="0" applyBorder="0">
      <alignment horizontal="right"/>
    </xf>
    <xf numFmtId="4" fontId="4" fillId="9" borderId="7" applyBorder="0">
      <alignment horizontal="right"/>
    </xf>
    <xf numFmtId="4" fontId="4" fillId="10" borderId="6" applyAlignment="0">
      <alignment vertical="center"/>
    </xf>
    <xf numFmtId="0" fontId="25" fillId="9" borderId="8" applyAlignment="0">
      <alignment horizontal="center" vertical="center" wrapText="1"/>
    </xf>
    <xf numFmtId="0" fontId="26" fillId="0" borderId="0" applyNumberFormat="0" applyFill="0" applyBorder="0" applyAlignment="0" applyProtection="0"/>
    <xf numFmtId="4" fontId="4" fillId="2" borderId="5" applyFont="0" applyBorder="0">
      <alignment horizontal="right"/>
    </xf>
  </cellStyleXfs>
  <cellXfs count="113">
    <xf numFmtId="0" fontId="0" fillId="0" borderId="0" xfId="0"/>
    <xf numFmtId="0" fontId="27" fillId="0" borderId="0" xfId="0" applyFont="1" applyAlignment="1">
      <alignment horizontal="left" vertical="center"/>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right" vertical="center" wrapText="1"/>
    </xf>
    <xf numFmtId="0" fontId="28"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Fill="1" applyAlignment="1">
      <alignment horizontal="center" vertical="center" wrapText="1"/>
    </xf>
    <xf numFmtId="0" fontId="27" fillId="0" borderId="9" xfId="0" applyFont="1" applyFill="1" applyBorder="1" applyAlignment="1">
      <alignment vertical="center" wrapText="1"/>
    </xf>
    <xf numFmtId="0" fontId="27" fillId="0" borderId="9" xfId="0" applyFont="1" applyBorder="1" applyAlignment="1">
      <alignment horizontal="center" vertical="center" wrapText="1"/>
    </xf>
    <xf numFmtId="0" fontId="27" fillId="0" borderId="9" xfId="0" applyFont="1" applyFill="1" applyBorder="1" applyAlignment="1">
      <alignment horizontal="center" vertical="center" wrapText="1"/>
    </xf>
    <xf numFmtId="0" fontId="27" fillId="0" borderId="0" xfId="0" applyFont="1" applyAlignment="1">
      <alignment vertical="center"/>
    </xf>
    <xf numFmtId="0" fontId="28" fillId="0" borderId="0" xfId="0" applyFont="1" applyBorder="1" applyAlignment="1">
      <alignment horizontal="center" vertical="center"/>
    </xf>
    <xf numFmtId="0" fontId="28" fillId="0" borderId="0" xfId="0" applyFont="1" applyBorder="1" applyAlignment="1">
      <alignment horizontal="right" vertical="center"/>
    </xf>
    <xf numFmtId="0" fontId="27" fillId="0" borderId="9" xfId="0" applyFont="1" applyBorder="1" applyAlignment="1">
      <alignment vertical="center"/>
    </xf>
    <xf numFmtId="0" fontId="30" fillId="0" borderId="0" xfId="0" applyFont="1" applyAlignment="1">
      <alignment vertical="center"/>
    </xf>
    <xf numFmtId="0" fontId="29" fillId="0" borderId="26" xfId="0" applyFont="1" applyBorder="1" applyAlignment="1">
      <alignment horizontal="center" vertical="center"/>
    </xf>
    <xf numFmtId="0" fontId="29" fillId="0" borderId="27" xfId="0" applyFont="1" applyBorder="1" applyAlignment="1">
      <alignment horizontal="left" vertical="center" wrapText="1"/>
    </xf>
    <xf numFmtId="0" fontId="31" fillId="0" borderId="0" xfId="65" quotePrefix="1" applyFont="1" applyAlignment="1">
      <alignment vertical="center"/>
    </xf>
    <xf numFmtId="0" fontId="30" fillId="0" borderId="0" xfId="0" applyFont="1" applyAlignment="1">
      <alignment horizontal="center" vertical="center" wrapText="1"/>
    </xf>
    <xf numFmtId="0" fontId="4" fillId="0" borderId="9"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9" xfId="0" applyFont="1" applyFill="1" applyBorder="1" applyAlignment="1">
      <alignment vertical="center" wrapText="1"/>
    </xf>
    <xf numFmtId="0" fontId="33" fillId="0" borderId="0" xfId="65" applyFont="1" applyAlignment="1">
      <alignment vertical="center"/>
    </xf>
    <xf numFmtId="0" fontId="28"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center" vertical="center"/>
    </xf>
    <xf numFmtId="49" fontId="27" fillId="0" borderId="9" xfId="0" applyNumberFormat="1" applyFont="1" applyBorder="1" applyAlignment="1">
      <alignment vertical="center" wrapText="1"/>
    </xf>
    <xf numFmtId="4" fontId="27" fillId="0" borderId="9" xfId="0" applyNumberFormat="1" applyFont="1" applyFill="1" applyBorder="1" applyAlignment="1">
      <alignment horizontal="center" vertical="center"/>
    </xf>
    <xf numFmtId="0" fontId="27" fillId="0" borderId="9" xfId="0" applyFont="1" applyFill="1" applyBorder="1" applyAlignment="1">
      <alignment horizontal="center" vertical="center" wrapText="1"/>
    </xf>
    <xf numFmtId="10" fontId="11" fillId="0" borderId="9" xfId="0" applyNumberFormat="1" applyFont="1" applyFill="1" applyBorder="1" applyAlignment="1">
      <alignment horizontal="center" vertical="center"/>
    </xf>
    <xf numFmtId="0" fontId="27" fillId="0" borderId="0" xfId="0" applyFont="1" applyFill="1" applyAlignment="1">
      <alignment horizontal="center" vertical="center"/>
    </xf>
    <xf numFmtId="0" fontId="27" fillId="0" borderId="0" xfId="0" applyFont="1" applyFill="1" applyAlignment="1">
      <alignment vertical="center"/>
    </xf>
    <xf numFmtId="0" fontId="27" fillId="0" borderId="0" xfId="0" applyFont="1" applyFill="1" applyAlignment="1">
      <alignment horizontal="righ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xf>
    <xf numFmtId="0" fontId="27" fillId="0" borderId="9" xfId="0" applyFont="1" applyFill="1" applyBorder="1" applyAlignment="1">
      <alignment horizontal="left" vertical="center" wrapText="1"/>
    </xf>
    <xf numFmtId="0" fontId="27" fillId="0" borderId="9" xfId="0" applyFont="1" applyFill="1" applyBorder="1" applyAlignment="1">
      <alignment horizontal="left" vertical="center" wrapText="1" indent="2"/>
    </xf>
    <xf numFmtId="16" fontId="27" fillId="0" borderId="9" xfId="0" applyNumberFormat="1" applyFont="1" applyFill="1" applyBorder="1" applyAlignment="1">
      <alignment horizontal="center" vertical="center"/>
    </xf>
    <xf numFmtId="4" fontId="27" fillId="11" borderId="9" xfId="0" applyNumberFormat="1" applyFont="1" applyFill="1" applyBorder="1" applyAlignment="1">
      <alignment horizontal="center" vertical="center"/>
    </xf>
    <xf numFmtId="164" fontId="27" fillId="11" borderId="9" xfId="0" applyNumberFormat="1" applyFont="1" applyFill="1" applyBorder="1" applyAlignment="1">
      <alignment horizontal="center" vertical="center" wrapText="1"/>
    </xf>
    <xf numFmtId="0" fontId="27" fillId="0" borderId="29" xfId="0" applyFont="1" applyFill="1" applyBorder="1" applyAlignment="1">
      <alignment horizontal="right" vertical="center" wrapText="1"/>
    </xf>
    <xf numFmtId="0" fontId="27" fillId="0" borderId="30" xfId="0" applyFont="1" applyBorder="1" applyAlignment="1">
      <alignment horizontal="left" vertical="center" wrapText="1"/>
    </xf>
    <xf numFmtId="0" fontId="27" fillId="11" borderId="9" xfId="0" applyFont="1" applyFill="1" applyBorder="1" applyAlignment="1">
      <alignment vertical="center"/>
    </xf>
    <xf numFmtId="0" fontId="27" fillId="0" borderId="29" xfId="0" applyFont="1" applyFill="1" applyBorder="1" applyAlignment="1">
      <alignment horizontal="left" vertical="center" wrapText="1" indent="2"/>
    </xf>
    <xf numFmtId="0" fontId="27" fillId="0" borderId="9" xfId="0" applyFont="1" applyFill="1" applyBorder="1" applyAlignment="1">
      <alignment horizontal="left" vertical="center" wrapText="1" indent="1"/>
    </xf>
    <xf numFmtId="4" fontId="27" fillId="0" borderId="0" xfId="0" applyNumberFormat="1" applyFont="1" applyFill="1" applyAlignment="1">
      <alignment vertical="center"/>
    </xf>
    <xf numFmtId="0" fontId="27" fillId="0" borderId="0" xfId="0" applyFont="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167" fontId="11" fillId="0" borderId="9" xfId="0" applyNumberFormat="1" applyFont="1" applyFill="1" applyBorder="1" applyAlignment="1">
      <alignment horizontal="center"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0" xfId="0" applyFont="1" applyAlignment="1">
      <alignment horizontal="left" vertical="center"/>
    </xf>
    <xf numFmtId="0" fontId="31" fillId="0" borderId="20" xfId="65" applyFont="1" applyBorder="1" applyAlignment="1">
      <alignment vertical="center"/>
    </xf>
    <xf numFmtId="0" fontId="36" fillId="0" borderId="25" xfId="65" applyFont="1" applyBorder="1" applyAlignment="1">
      <alignment vertical="center"/>
    </xf>
    <xf numFmtId="0" fontId="36" fillId="0" borderId="20" xfId="65" applyFont="1" applyBorder="1" applyAlignment="1">
      <alignment vertical="center"/>
    </xf>
    <xf numFmtId="0" fontId="36" fillId="0" borderId="23" xfId="65" applyFont="1" applyBorder="1" applyAlignment="1">
      <alignment vertical="center"/>
    </xf>
    <xf numFmtId="0" fontId="27" fillId="0" borderId="9" xfId="0" applyFont="1" applyFill="1" applyBorder="1" applyAlignment="1">
      <alignment horizontal="center" vertical="center" wrapText="1"/>
    </xf>
    <xf numFmtId="4" fontId="27" fillId="0" borderId="0" xfId="0" applyNumberFormat="1" applyFont="1" applyFill="1" applyAlignment="1">
      <alignment horizontal="center" vertical="center" wrapText="1"/>
    </xf>
    <xf numFmtId="49" fontId="27" fillId="0" borderId="0" xfId="0" applyNumberFormat="1" applyFont="1" applyFill="1" applyAlignment="1">
      <alignment vertical="center"/>
    </xf>
    <xf numFmtId="49" fontId="27" fillId="0" borderId="0" xfId="0" applyNumberFormat="1" applyFont="1" applyAlignment="1">
      <alignment vertical="center"/>
    </xf>
    <xf numFmtId="0" fontId="37" fillId="0" borderId="0" xfId="0" applyFont="1"/>
    <xf numFmtId="0" fontId="27" fillId="0" borderId="9"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9" xfId="0" applyFont="1" applyBorder="1" applyAlignment="1">
      <alignment vertical="center" wrapText="1"/>
    </xf>
    <xf numFmtId="0" fontId="27" fillId="0" borderId="9" xfId="0" applyFont="1" applyBorder="1" applyAlignment="1">
      <alignment horizontal="left" vertical="center"/>
    </xf>
    <xf numFmtId="0" fontId="31" fillId="0" borderId="28" xfId="65" applyFont="1" applyBorder="1" applyAlignment="1">
      <alignment vertical="center"/>
    </xf>
    <xf numFmtId="4" fontId="27" fillId="0" borderId="0" xfId="0" applyNumberFormat="1" applyFont="1" applyAlignment="1">
      <alignment vertical="center"/>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28"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Fill="1" applyAlignment="1">
      <alignment horizontal="center" vertical="center" wrapText="1"/>
    </xf>
    <xf numFmtId="0" fontId="29" fillId="0" borderId="17" xfId="0" applyFont="1" applyBorder="1" applyAlignment="1">
      <alignment horizontal="center" vertical="center"/>
    </xf>
    <xf numFmtId="0" fontId="30" fillId="0" borderId="19" xfId="0" applyFont="1" applyBorder="1" applyAlignment="1">
      <alignment horizontal="center" vertical="center"/>
    </xf>
    <xf numFmtId="0" fontId="30" fillId="0" borderId="21" xfId="0" applyFont="1" applyBorder="1" applyAlignment="1">
      <alignment horizontal="center" vertical="center"/>
    </xf>
    <xf numFmtId="0" fontId="29" fillId="0" borderId="18" xfId="0" applyFont="1" applyBorder="1" applyAlignment="1">
      <alignment vertical="center" wrapText="1"/>
    </xf>
    <xf numFmtId="0" fontId="30" fillId="0" borderId="9" xfId="0" applyFont="1" applyBorder="1" applyAlignment="1">
      <alignment vertical="center" wrapText="1"/>
    </xf>
    <xf numFmtId="0" fontId="30" fillId="0" borderId="22" xfId="0" applyFont="1" applyBorder="1" applyAlignment="1">
      <alignment vertical="center" wrapText="1"/>
    </xf>
    <xf numFmtId="0" fontId="29" fillId="0" borderId="16" xfId="0" applyFont="1" applyBorder="1" applyAlignment="1">
      <alignment horizontal="left" vertical="center" wrapText="1"/>
    </xf>
    <xf numFmtId="0" fontId="29" fillId="0" borderId="9" xfId="0" applyFont="1" applyBorder="1" applyAlignment="1">
      <alignment horizontal="left" vertical="center" wrapText="1"/>
    </xf>
    <xf numFmtId="0" fontId="29" fillId="0" borderId="22" xfId="0" applyFont="1" applyBorder="1" applyAlignment="1">
      <alignment horizontal="left" vertical="center" wrapText="1"/>
    </xf>
    <xf numFmtId="0" fontId="29" fillId="0" borderId="24" xfId="0" applyFont="1" applyBorder="1" applyAlignment="1">
      <alignment horizontal="center" vertical="center"/>
    </xf>
    <xf numFmtId="0" fontId="29" fillId="0" borderId="19" xfId="0" applyFont="1" applyBorder="1" applyAlignment="1">
      <alignment horizontal="center" vertical="center"/>
    </xf>
    <xf numFmtId="0" fontId="30" fillId="0" borderId="19" xfId="0" applyFont="1" applyBorder="1" applyAlignment="1">
      <alignment vertical="center"/>
    </xf>
    <xf numFmtId="0" fontId="30" fillId="0" borderId="21" xfId="0" applyFont="1" applyBorder="1" applyAlignment="1">
      <alignment vertical="center"/>
    </xf>
    <xf numFmtId="0" fontId="28" fillId="0" borderId="0" xfId="0" applyFont="1" applyBorder="1" applyAlignment="1">
      <alignment horizontal="center" vertical="center"/>
    </xf>
    <xf numFmtId="0" fontId="34" fillId="0" borderId="0" xfId="0" applyFont="1" applyBorder="1" applyAlignment="1">
      <alignment horizontal="center" vertical="center" wrapText="1"/>
    </xf>
    <xf numFmtId="0" fontId="28" fillId="0" borderId="0" xfId="0" applyFont="1" applyAlignment="1">
      <alignment horizontal="center" vertical="center"/>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30" xfId="0" applyFont="1" applyBorder="1" applyAlignment="1">
      <alignment horizontal="center" vertical="center" wrapText="1"/>
    </xf>
    <xf numFmtId="4" fontId="27" fillId="0" borderId="29" xfId="0" applyNumberFormat="1" applyFont="1" applyFill="1" applyBorder="1" applyAlignment="1">
      <alignment horizontal="center" vertical="center"/>
    </xf>
    <xf numFmtId="4" fontId="27" fillId="0" borderId="30" xfId="0" applyNumberFormat="1" applyFont="1" applyFill="1" applyBorder="1" applyAlignment="1">
      <alignment horizontal="center" vertical="center"/>
    </xf>
    <xf numFmtId="0" fontId="27" fillId="0" borderId="0" xfId="0" applyFont="1" applyFill="1" applyAlignment="1">
      <alignment horizontal="left" vertical="center" wrapText="1"/>
    </xf>
    <xf numFmtId="0" fontId="27" fillId="0" borderId="30" xfId="0" applyFont="1" applyFill="1" applyBorder="1" applyAlignment="1">
      <alignment horizontal="center" vertical="center"/>
    </xf>
    <xf numFmtId="0" fontId="27" fillId="11" borderId="29" xfId="0" applyFont="1" applyFill="1" applyBorder="1" applyAlignment="1">
      <alignment horizontal="center" vertical="center"/>
    </xf>
    <xf numFmtId="0" fontId="27" fillId="11" borderId="30" xfId="0" applyFont="1" applyFill="1" applyBorder="1" applyAlignment="1">
      <alignment horizontal="center" vertical="center"/>
    </xf>
    <xf numFmtId="4" fontId="27" fillId="11" borderId="29" xfId="0" applyNumberFormat="1" applyFont="1" applyFill="1" applyBorder="1" applyAlignment="1">
      <alignment horizontal="center" vertical="center"/>
    </xf>
    <xf numFmtId="4" fontId="27" fillId="11" borderId="30" xfId="0" applyNumberFormat="1" applyFont="1" applyFill="1" applyBorder="1" applyAlignment="1">
      <alignment horizontal="center" vertical="center"/>
    </xf>
  </cellXfs>
  <cellStyles count="67">
    <cellStyle name=" 1" xfId="5"/>
    <cellStyle name=" 1 2" xfId="6"/>
    <cellStyle name=" 1_Stage1" xfId="7"/>
    <cellStyle name="_Model_RAB Мой_PR.PROG.WARM.NOTCOMBI.2012.2.16_v1.4(04.04.11) " xfId="8"/>
    <cellStyle name="_Model_RAB Мой_Книга2_PR.PROG.WARM.NOTCOMBI.2012.2.16_v1.4(04.04.11) " xfId="9"/>
    <cellStyle name="_Model_RAB_MRSK_svod_PR.PROG.WARM.NOTCOMBI.2012.2.16_v1.4(04.04.11) " xfId="10"/>
    <cellStyle name="_Model_RAB_MRSK_svod_Книга2_PR.PROG.WARM.NOTCOMBI.2012.2.16_v1.4(04.04.11) " xfId="11"/>
    <cellStyle name="_МОДЕЛЬ_1 (2)_PR.PROG.WARM.NOTCOMBI.2012.2.16_v1.4(04.04.11) " xfId="12"/>
    <cellStyle name="_МОДЕЛЬ_1 (2)_Книга2_PR.PROG.WARM.NOTCOMBI.2012.2.16_v1.4(04.04.11) " xfId="13"/>
    <cellStyle name="_пр 5 тариф RAB_PR.PROG.WARM.NOTCOMBI.2012.2.16_v1.4(04.04.11) " xfId="14"/>
    <cellStyle name="_пр 5 тариф RAB_Книга2_PR.PROG.WARM.NOTCOMBI.2012.2.16_v1.4(04.04.11) " xfId="15"/>
    <cellStyle name="_Расчет RAB_22072008_PR.PROG.WARM.NOTCOMBI.2012.2.16_v1.4(04.04.11) " xfId="16"/>
    <cellStyle name="_Расчет RAB_22072008_Книга2_PR.PROG.WARM.NOTCOMBI.2012.2.16_v1.4(04.04.11) " xfId="17"/>
    <cellStyle name="_Расчет RAB_Лен и МОЭСК_с 2010 года_14.04.2009_со сглаж_version 3.0_без ФСК_PR.PROG.WARM.NOTCOMBI.2012.2.16_v1.4(04.04.11) " xfId="18"/>
    <cellStyle name="_Расчет RAB_Лен и МОЭСК_с 2010 года_14.04.2009_со сглаж_version 3.0_без ФСК_Книга2_PR.PROG.WARM.NOTCOMBI.2012.2.16_v1.4(04.04.11) " xfId="19"/>
    <cellStyle name="Cells 2" xfId="20"/>
    <cellStyle name="Currency [0]" xfId="21"/>
    <cellStyle name="Currency2" xfId="22"/>
    <cellStyle name="Followed Hyperlink" xfId="23"/>
    <cellStyle name="Header 3" xfId="24"/>
    <cellStyle name="Hyperlink" xfId="25"/>
    <cellStyle name="normal" xfId="26"/>
    <cellStyle name="Normal1" xfId="27"/>
    <cellStyle name="Normal2" xfId="28"/>
    <cellStyle name="Percent1" xfId="29"/>
    <cellStyle name="Title 4" xfId="30"/>
    <cellStyle name="Гиперссылка" xfId="65" builtinId="8"/>
    <cellStyle name="Гиперссылка 2" xfId="31"/>
    <cellStyle name="Гиперссылка 2 2" xfId="32"/>
    <cellStyle name="Гиперссылка 4" xfId="33"/>
    <cellStyle name="Гиперссылка 4 2" xfId="34"/>
    <cellStyle name="Границы" xfId="4"/>
    <cellStyle name="Заголовки" xfId="35"/>
    <cellStyle name="Заголовок" xfId="36"/>
    <cellStyle name="ЗаголовокСтолбца" xfId="37"/>
    <cellStyle name="Значение" xfId="38"/>
    <cellStyle name="Значения" xfId="39"/>
    <cellStyle name="Обычный" xfId="0" builtinId="0"/>
    <cellStyle name="Обычный 10" xfId="40"/>
    <cellStyle name="Обычный 11" xfId="41"/>
    <cellStyle name="Обычный 11 3" xfId="42"/>
    <cellStyle name="Обычный 12" xfId="43"/>
    <cellStyle name="Обычный 12 2" xfId="44"/>
    <cellStyle name="Обычный 13" xfId="1"/>
    <cellStyle name="Обычный 2" xfId="3"/>
    <cellStyle name="Обычный 2 2" xfId="45"/>
    <cellStyle name="Обычный 2 3" xfId="46"/>
    <cellStyle name="Обычный 2_наш последний RAB (28.09.10)" xfId="47"/>
    <cellStyle name="Обычный 3" xfId="48"/>
    <cellStyle name="Обычный 3 2" xfId="49"/>
    <cellStyle name="Обычный 3 3" xfId="50"/>
    <cellStyle name="Обычный 4" xfId="51"/>
    <cellStyle name="Обычный 9 2" xfId="52"/>
    <cellStyle name="Показатели1" xfId="53"/>
    <cellStyle name="Процентный 5" xfId="54"/>
    <cellStyle name="Стиль 1" xfId="55"/>
    <cellStyle name="Финансовый 2" xfId="56"/>
    <cellStyle name="Финансовый 3" xfId="57"/>
    <cellStyle name="Финансовый 3 2_TEHSHEET" xfId="58"/>
    <cellStyle name="Финансовый 4 2" xfId="59"/>
    <cellStyle name="Формула" xfId="2"/>
    <cellStyle name="Формула 3" xfId="60"/>
    <cellStyle name="Формула_GRES.2007.5" xfId="61"/>
    <cellStyle name="ФормулаВБ" xfId="62"/>
    <cellStyle name="ФормулаНаКонтроль" xfId="66"/>
    <cellStyle name="Формулы" xfId="63"/>
    <cellStyle name="Шапка таблицы" xfId="64"/>
  </cellStyles>
  <dxfs count="4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CFFCC"/>
      <color rgb="FF0000FF"/>
      <color rgb="FFCCFFFF"/>
      <color rgb="FFFFFFCC"/>
      <color rgb="FF99FF33"/>
      <color rgb="FFFFCCFF"/>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50" Type="http://schemas.openxmlformats.org/officeDocument/2006/relationships/externalLink" Target="externalLinks/externalLink15.xml"/><Relationship Id="rId55" Type="http://schemas.openxmlformats.org/officeDocument/2006/relationships/externalLink" Target="externalLinks/externalLink20.xml"/><Relationship Id="rId63" Type="http://schemas.openxmlformats.org/officeDocument/2006/relationships/externalLink" Target="externalLinks/externalLink28.xml"/><Relationship Id="rId68" Type="http://schemas.openxmlformats.org/officeDocument/2006/relationships/externalLink" Target="externalLinks/externalLink33.xml"/><Relationship Id="rId76" Type="http://schemas.openxmlformats.org/officeDocument/2006/relationships/externalLink" Target="externalLinks/externalLink41.xml"/><Relationship Id="rId7" Type="http://schemas.openxmlformats.org/officeDocument/2006/relationships/worksheet" Target="worksheets/sheet7.xml"/><Relationship Id="rId71" Type="http://schemas.openxmlformats.org/officeDocument/2006/relationships/externalLink" Target="externalLinks/externalLink36.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3" Type="http://schemas.openxmlformats.org/officeDocument/2006/relationships/externalLink" Target="externalLinks/externalLink18.xml"/><Relationship Id="rId58" Type="http://schemas.openxmlformats.org/officeDocument/2006/relationships/externalLink" Target="externalLinks/externalLink23.xml"/><Relationship Id="rId66" Type="http://schemas.openxmlformats.org/officeDocument/2006/relationships/externalLink" Target="externalLinks/externalLink31.xml"/><Relationship Id="rId74" Type="http://schemas.openxmlformats.org/officeDocument/2006/relationships/externalLink" Target="externalLinks/externalLink39.xml"/><Relationship Id="rId79" Type="http://schemas.openxmlformats.org/officeDocument/2006/relationships/externalLink" Target="externalLinks/externalLink44.xml"/><Relationship Id="rId5" Type="http://schemas.openxmlformats.org/officeDocument/2006/relationships/worksheet" Target="worksheets/sheet5.xml"/><Relationship Id="rId61" Type="http://schemas.openxmlformats.org/officeDocument/2006/relationships/externalLink" Target="externalLinks/externalLink26.xml"/><Relationship Id="rId82"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externalLink" Target="externalLinks/externalLink17.xml"/><Relationship Id="rId60" Type="http://schemas.openxmlformats.org/officeDocument/2006/relationships/externalLink" Target="externalLinks/externalLink25.xml"/><Relationship Id="rId65" Type="http://schemas.openxmlformats.org/officeDocument/2006/relationships/externalLink" Target="externalLinks/externalLink30.xml"/><Relationship Id="rId73" Type="http://schemas.openxmlformats.org/officeDocument/2006/relationships/externalLink" Target="externalLinks/externalLink38.xml"/><Relationship Id="rId78" Type="http://schemas.openxmlformats.org/officeDocument/2006/relationships/externalLink" Target="externalLinks/externalLink43.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56" Type="http://schemas.openxmlformats.org/officeDocument/2006/relationships/externalLink" Target="externalLinks/externalLink21.xml"/><Relationship Id="rId64" Type="http://schemas.openxmlformats.org/officeDocument/2006/relationships/externalLink" Target="externalLinks/externalLink29.xml"/><Relationship Id="rId69" Type="http://schemas.openxmlformats.org/officeDocument/2006/relationships/externalLink" Target="externalLinks/externalLink34.xml"/><Relationship Id="rId77" Type="http://schemas.openxmlformats.org/officeDocument/2006/relationships/externalLink" Target="externalLinks/externalLink42.xml"/><Relationship Id="rId8" Type="http://schemas.openxmlformats.org/officeDocument/2006/relationships/worksheet" Target="worksheets/sheet8.xml"/><Relationship Id="rId51" Type="http://schemas.openxmlformats.org/officeDocument/2006/relationships/externalLink" Target="externalLinks/externalLink16.xml"/><Relationship Id="rId72" Type="http://schemas.openxmlformats.org/officeDocument/2006/relationships/externalLink" Target="externalLinks/externalLink37.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59" Type="http://schemas.openxmlformats.org/officeDocument/2006/relationships/externalLink" Target="externalLinks/externalLink24.xml"/><Relationship Id="rId67" Type="http://schemas.openxmlformats.org/officeDocument/2006/relationships/externalLink" Target="externalLinks/externalLink32.xml"/><Relationship Id="rId20" Type="http://schemas.openxmlformats.org/officeDocument/2006/relationships/worksheet" Target="worksheets/sheet20.xml"/><Relationship Id="rId41" Type="http://schemas.openxmlformats.org/officeDocument/2006/relationships/externalLink" Target="externalLinks/externalLink6.xml"/><Relationship Id="rId54" Type="http://schemas.openxmlformats.org/officeDocument/2006/relationships/externalLink" Target="externalLinks/externalLink19.xml"/><Relationship Id="rId62" Type="http://schemas.openxmlformats.org/officeDocument/2006/relationships/externalLink" Target="externalLinks/externalLink27.xml"/><Relationship Id="rId70" Type="http://schemas.openxmlformats.org/officeDocument/2006/relationships/externalLink" Target="externalLinks/externalLink35.xml"/><Relationship Id="rId75" Type="http://schemas.openxmlformats.org/officeDocument/2006/relationships/externalLink" Target="externalLinks/externalLink40.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externalLink" Target="externalLinks/externalLink14.xml"/><Relationship Id="rId57" Type="http://schemas.openxmlformats.org/officeDocument/2006/relationships/externalLink" Target="externalLinks/externalLink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1</xdr:col>
      <xdr:colOff>285750</xdr:colOff>
      <xdr:row>28</xdr:row>
      <xdr:rowOff>0</xdr:rowOff>
    </xdr:to>
    <xdr:pic>
      <xdr:nvPicPr>
        <xdr:cNvPr id="2"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31750</xdr:rowOff>
    </xdr:to>
    <xdr:grpSp>
      <xdr:nvGrpSpPr>
        <xdr:cNvPr id="3" name="shCalendar" hidden="1"/>
        <xdr:cNvGrpSpPr>
          <a:grpSpLocks/>
        </xdr:cNvGrpSpPr>
      </xdr:nvGrpSpPr>
      <xdr:grpSpPr bwMode="auto">
        <a:xfrm>
          <a:off x="7981950" y="3886200"/>
          <a:ext cx="190500" cy="193675"/>
          <a:chOff x="13896191" y="1813753"/>
          <a:chExt cx="211023" cy="178845"/>
        </a:xfrm>
      </xdr:grpSpPr>
      <xdr:sp macro="" textlink="">
        <xdr:nvSpPr>
          <xdr:cNvPr id="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8/&#1055;&#1088;&#1086;&#1077;&#1082;&#1090;&#1099;/&#1042;&#1056;/&#1054;&#1040;&#1054;%20&#1060;&#1086;&#1088;&#1090;&#1091;&#1084;_&#1040;&#1088;&#1075;&#1072;&#1103;&#1096;&#1089;&#1082;&#1072;&#1103;%20&#1058;&#1069;&#1062;%20&#1073;&#1077;&#1079;%20&#1044;&#1055;&#1052;_&#1053;&#1042;_18_&#1042;_&#1060;&#1057;&#105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58;&#1072;&#1088;&#1080;&#1092;&#1085;&#1099;&#1077;%20&#1088;&#1077;&#1096;&#1077;&#1085;&#1080;&#1103;/&#1058;&#1072;&#1088;&#1080;&#1092;&#1085;&#1099;&#1077;%20&#1088;&#1077;&#1096;&#1077;&#1085;&#1080;&#1103;_&#1058;&#1069;%20&#1080;%20&#1058;&#105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58;&#1072;&#1088;&#1080;&#1092;&#1099;%202019%20&#1075;&#1086;&#1076;%20&#1044;&#1054;&#1050;&#1059;&#1052;&#1045;&#1053;&#1058;&#1067;/&#1057;&#1084;&#1077;&#1090;&#1072;%20&#1080;%20&#1087;&#1088;&#1080;&#1083;&#1086;&#1078;&#1077;&#1085;&#1080;&#1103;%20&#1087;&#1086;%20&#1052;&#1059;/&#1056;&#1072;&#1089;&#1095;&#1077;&#1090;%20&#1087;&#1086;%20&#1052;&#1059;_&#1058;&#1050;%202019.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58;&#1069;%20&#1080;%20&#1058;&#1053;/&#1048;&#1085;&#1092;&#1086;&#1088;&#1084;&#1072;&#1094;&#1080;&#1103;%20&#1086;%20&#1090;&#1072;&#1088;&#1080;&#1092;&#1072;&#1093;%20&#1074;%20&#1089;&#1092;&#1077;&#1088;&#1077;%20&#1090;&#1077;&#1087;&#1083;&#1086;&#1089;&#1085;&#1072;&#1073;&#1078;&#1077;&#1085;&#1080;&#1103;_201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60;&#1057;&#1058;%202019/&#1056;&#1044;/2019_&#1060;&#1086;&#1088;&#1090;&#1091;&#1084;_&#1040;&#1088;&#1075;&#1072;&#1103;&#1096;&#1089;&#1082;&#1072;&#1103;%20&#1058;&#1069;&#1062;%20&#1058;&#1043;-4_INDEX.STATION.TSZ.2019(v1.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9/&#1060;&#1086;&#1088;&#1084;&#1072;%204/&#1060;&#1086;&#1088;&#1090;&#1091;&#1084;_&#1063;&#1077;&#1083;&#1103;&#1073;&#1080;&#1085;&#1089;&#1082;&#1072;&#1103;%20&#1058;&#1069;&#1062;-1%20&#1073;&#1077;&#1079;%20&#1044;&#1055;&#1052;_FORM4.2019.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60;&#1057;&#1058;%202019/&#1056;&#1044;/2019_&#1060;&#1086;&#1088;&#1090;&#1091;&#1084;_&#1063;&#1077;&#1083;&#1103;&#1073;&#1080;&#1085;&#1089;&#1082;&#1072;&#1103;%20&#1058;&#1069;&#1062;-1%20&#1073;&#1077;&#1079;%20&#1044;&#1055;&#1052;_INDEX.STATION.TSZ.2019(v1.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41;&#1040;&#1047;&#1040;%20&#1044;&#1040;&#1053;&#1053;&#1067;&#1061;/&#1058;&#1086;&#1087;&#1083;&#1080;&#1074;&#1086;/&#1056;&#1072;&#1089;&#1095;&#1077;&#1090;%20&#1079;&#1072;&#1090;&#1088;&#1072;&#1090;%20&#1085;&#1072;%20&#1090;&#1086;&#1087;&#1083;&#1080;&#1074;&#1086;/&#1056;&#1072;&#1089;&#1095;&#1077;&#1090;%20&#1079;&#1072;&#1090;&#1088;&#1072;&#1090;%20&#1085;&#1072;%20&#1090;&#1086;&#1087;&#1083;&#1080;&#1074;&#1086;_2017%20&#1075;&#1086;&#107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9/&#1060;&#1086;&#1088;&#1084;&#1072;%204/&#1060;&#1086;&#1088;&#1090;&#1091;&#1084;_&#1063;&#1077;&#1083;&#1103;&#1073;&#1080;&#1085;&#1089;&#1082;&#1072;&#1103;%20&#1058;&#1069;&#1062;-1%20(&#1058;&#1043;%2010,%2011)%20&#1053;&#1042;_FORM4.2019.xlsb"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OTO/&#1060;&#1057;&#1058;%202019/&#1056;&#1044;/2019_&#1060;&#1086;&#1088;&#1090;&#1091;&#1084;_&#1063;&#1077;&#1083;&#1103;&#1073;&#1080;&#1085;&#1089;&#1082;&#1072;&#1103;%20&#1058;&#1069;&#1062;-1%20(&#1058;&#1043;%2010,11)_&#1053;&#1042;_INDEX.STATION.TSZ.2019(v1.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9/&#1060;&#1086;&#1088;&#1084;&#1072;%204/&#1060;&#1086;&#1088;&#1090;&#1091;&#1084;_&#1040;&#1088;&#1075;&#1072;&#1103;&#1096;&#1089;&#1082;&#1072;&#1103;%20&#1058;&#1069;&#1062;%20(&#1058;&#1043;%206,7)_FORM4.2019.xlsb"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OTO/&#1041;&#1040;&#1047;&#1040;%20&#1044;&#1040;&#1053;&#1053;&#1067;&#1061;/&#1058;&#1086;&#1087;&#1083;&#1080;&#1074;&#1086;/&#1056;&#1072;&#1089;&#1095;&#1077;&#1090;%20&#1079;&#1072;&#1090;&#1088;&#1072;&#1090;%20&#1085;&#1072;%20&#1090;&#1086;&#1087;&#1083;&#1080;&#1074;&#1086;/&#1056;&#1072;&#1089;&#1095;&#1077;&#1090;%20&#1079;&#1072;&#1090;&#1088;&#1072;&#1090;%20&#1085;&#1072;%20&#1090;&#1086;&#1087;&#1083;&#1080;&#1074;&#1086;_2016%20&#1075;&#1086;&#107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9/&#1060;&#1086;&#1088;&#1084;&#1072;%204/&#1060;&#1086;&#1088;&#1090;&#1091;&#1084;_&#1063;&#1077;&#1083;&#1103;&#1073;&#1080;&#1085;&#1089;&#1082;&#1072;&#1103;%20&#1058;&#1069;&#1062;-2_FORM4.2019.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OTO/&#1060;&#1057;&#1058;%202019/&#1056;&#1044;/2019_&#1060;&#1086;&#1088;&#1090;&#1091;&#1084;_&#1063;&#1077;&#1083;&#1103;&#1073;&#1080;&#1085;&#1089;&#1082;&#1072;&#1103;%20&#1058;&#1069;&#1062;-2_INDEX.STATION.TSZ.2019(v1.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9/&#1060;&#1086;&#1088;&#1084;&#1072;%204/&#1060;&#1086;&#1088;&#1090;&#1091;&#1084;_&#1063;&#1077;&#1083;&#1103;&#1073;&#1080;&#1085;&#1089;&#1082;&#1072;&#1103;%20&#1058;&#1069;&#1062;-3%20&#1073;&#1077;&#1079;%20&#1044;&#1055;&#1052;_FORM4.2019.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OTO/&#1060;&#1057;&#1058;%202019/&#1056;&#1044;/2019_&#1060;&#1086;&#1088;&#1090;&#1091;&#1084;_&#1063;&#1077;&#1083;&#1103;&#1073;&#1080;&#1085;&#1089;&#1082;&#1072;&#1103;%20&#1058;&#1069;&#1062;-3%20&#1073;&#1077;&#1079;%20&#1044;&#1055;&#1052;_INDEX.STATION.TSZ.2019(v1.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9/&#1060;&#1086;&#1088;&#1084;&#1072;%204/&#1060;&#1086;&#1088;&#1090;&#1091;&#1084;_&#1063;&#1077;&#1083;&#1103;&#1073;&#1080;&#1085;&#1089;&#1082;&#1072;&#1103;%20&#1058;&#1069;&#1062;-3%20(&#1041;&#1051;%203)%20&#1044;&#1055;&#1052;_FORM4.2019.xlsb"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OTO/&#1060;&#1057;&#1058;%202019/&#1056;&#1044;/2019_&#1060;&#1086;&#1088;&#1090;&#1091;&#1084;_&#1063;&#1077;&#1083;&#1103;&#1073;&#1080;&#1085;&#1089;&#1082;&#1072;&#1103;%20&#1058;&#1069;&#1062;-3%20(&#1041;&#1051;%203)%20&#1044;&#1055;&#1052;%20&#1053;&#1042;_INDEX.STATION.TSZ.2019(v1.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9/&#1060;&#1086;&#1088;&#1084;&#1072;%204/&#1060;&#1086;&#1088;&#1090;&#1091;&#1084;_&#1063;&#1077;&#1083;&#1103;&#1073;&#1080;&#1085;&#1089;&#1082;&#1072;&#1103;%20&#1043;&#1056;&#1069;&#1057;%20&#1041;&#1051;-1%20&#1044;&#1055;&#1052;_FORM4.2019.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OTO/&#1060;&#1057;&#1058;%202019/&#1056;&#1044;/2019_&#1060;&#1086;&#1088;&#1090;&#1091;&#1084;_&#1063;&#1077;&#1083;&#1103;&#1073;&#1080;&#1085;&#1089;&#1082;&#1072;&#1103;%20&#1043;&#1056;&#1069;&#1057;%20&#1041;&#1051;1_&#1044;&#1055;&#1052;_INDEX.STATION.TSZ.2019(v1.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9/&#1060;&#1086;&#1088;&#1084;&#1072;%204/&#1060;&#1086;&#1088;&#1090;&#1091;&#1084;_&#1063;&#1077;&#1083;&#1103;&#1073;&#1080;&#1085;&#1089;&#1082;&#1072;&#1103;%20&#1043;&#1056;&#1069;&#1057;%20&#1041;&#1051;-2%20&#1044;&#1055;&#1052;_FORM4.2019.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9/&#1060;&#1086;&#1088;&#1084;&#1072;%204/&#1060;&#1086;&#1088;&#1090;&#1091;&#1084;_&#1040;&#1088;&#1075;&#1072;&#1103;&#1096;&#1089;&#1082;&#1072;&#1103;%20&#1058;&#1069;&#1062;%20(&#1058;&#1043;%201,2,3,5)_FORM4.2019.xlsb"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OTO/&#1060;&#1057;&#1058;%202019/&#1056;&#1044;/2019_&#1060;&#1086;&#1088;&#1090;&#1091;&#1084;_&#1063;&#1077;&#1083;&#1103;&#1073;&#1080;&#1085;&#1089;&#1082;&#1072;&#1103;%20&#1043;&#1056;&#1069;&#1057;%20&#1041;&#1051;2_&#1044;&#1055;&#1052;_INDEX.STATION.TSZ.2019(v1.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9/&#1060;&#1086;&#1088;&#1084;&#1072;%204/&#1060;&#1086;&#1088;&#1090;&#1091;&#1084;_&#1063;&#1077;&#1083;&#1103;&#1073;&#1080;&#1085;&#1089;&#1082;&#1072;&#1103;%20&#1043;&#1056;&#1069;&#1057;%20&#1041;&#1051;-3%20&#1053;&#1042;_FORM4.2019.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OTO/&#1060;&#1057;&#1058;%202019/&#1056;&#1044;/2019_&#1060;&#1086;&#1088;&#1090;&#1091;&#1084;_&#1063;&#1077;&#1083;&#1103;&#1073;&#1080;&#1085;&#1089;&#1082;&#1072;&#1103;%20&#1043;&#1056;&#1069;&#1057;%20&#1041;&#1051;3_&#1044;&#1055;&#1052;_INDEX.STATION.TSZ.2019(v1.0.3).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8/&#1056;&#1044;/&#1054;&#1040;&#1054;%20&#1060;&#1086;&#1088;&#1090;&#1091;&#1084;_&#1063;&#1077;&#1083;&#1103;&#1073;&#1080;&#1085;&#1089;&#1082;&#1072;&#1103;%20&#1043;&#1056;&#1069;&#1057;%20(&#1041;&#1051;-3)%20&#1053;&#1042;_&#1062;_18_&#1060;A&#105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9/&#1060;&#1086;&#1088;&#1084;&#1072;%204/&#1060;&#1086;&#1088;&#1090;&#1091;&#1084;_&#1058;&#1102;&#1084;&#1077;&#1085;&#1089;&#1082;&#1072;&#1103;%20&#1058;&#1069;&#1062;-1%20&#1073;&#1077;&#1079;%20&#1044;&#1055;&#1052;_FORM4.2019.xlsb"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TO/&#1060;&#1057;&#1058;%202019/&#1056;&#1044;/2019_&#1060;&#1086;&#1088;&#1090;&#1091;&#1084;_&#1058;&#1102;&#1084;&#1077;&#1085;&#1089;&#1082;&#1072;&#1103;%20&#1058;&#1069;&#1062;-1%20&#1073;&#1077;&#1079;%20&#1044;&#1055;&#1052;_INDEX.STATION.TSZ.2019(v1.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9/&#1060;&#1086;&#1088;&#1084;&#1072;%204/&#1060;&#1086;&#1088;&#1090;&#1091;&#1084;_&#1058;&#1102;&#1084;&#1077;&#1085;&#1089;&#1082;&#1072;&#1103;%20&#1058;&#1069;&#1062;-1%20&#1041;&#1051;-2%20&#1044;&#1055;&#1052;_FORM4.2019.xlsb"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OTO/&#1060;&#1057;&#1058;%202019/&#1056;&#1044;/2019_&#1060;&#1086;&#1088;&#1090;&#1091;&#1084;_&#1058;&#1102;&#1084;&#1077;&#1085;&#1089;&#1082;&#1072;&#1103;%20&#1058;&#1069;&#1062;-1%20&#1041;&#1051;-2%20&#1044;&#1055;&#1052;_INDEX.STATION.TSZ.2019(v1.0.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9/&#1060;&#1086;&#1088;&#1084;&#1072;%204/&#1060;&#1086;&#1088;&#1090;&#1091;&#1084;_&#1058;&#1102;&#1084;&#1077;&#1085;&#1089;&#1082;&#1072;&#1103;%20&#1058;&#1069;&#1062;-2_FORM4.2019.xlsb"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OTO/&#1060;&#1057;&#1058;%202019/&#1056;&#1044;/2019_&#1060;&#1086;&#1088;&#1090;&#1091;&#1084;_&#1058;&#1102;&#1084;&#1077;&#1085;&#1089;&#1082;&#1072;&#1103;%20&#1058;&#1069;&#1062;-2_INDEX.STATION.TSZ.2019(v1.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60;&#1057;&#1058;%202019/&#1056;&#1044;/2019_&#1060;&#1086;&#1088;&#1090;&#1091;&#1084;_&#1040;&#1088;&#1075;&#1072;&#1103;&#1096;&#1089;&#1082;&#1072;&#1103;%20&#1058;&#1069;&#1062;%20&#1073;&#1077;&#1079;%20&#1044;&#1055;&#1052;_INDEX.STATION.TSZ.2019(v1.0.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9/&#1060;&#1086;&#1088;&#1084;&#1072;%204/&#1060;&#1086;&#1088;&#1090;&#1091;&#1084;_&#1053;&#1103;&#1075;&#1072;&#1085;&#1089;&#1082;&#1072;&#1103;%20&#1043;&#1056;&#1069;&#1057;%20&#1041;&#1051;-1%20&#1044;&#1055;&#1052;_FORM4.2019.xlsb"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OTO/&#1060;&#1057;&#1058;%202019/&#1056;&#1044;/2019_&#1060;&#1086;&#1088;&#1090;&#1091;&#1084;_&#1053;&#1103;&#1075;&#1072;&#1085;&#1089;&#1082;&#1072;&#1103;%20&#1043;&#1056;&#1069;&#1057;%20&#1041;&#1051;1_&#1044;&#1055;&#1052;_INDEX.STATION.TSZ.2019(v1.0.3).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OTO/&#1060;&#1057;&#1058;%202019/&#1056;&#1044;/2019_&#1060;&#1086;&#1088;&#1090;&#1091;&#1084;_&#1053;&#1103;&#1075;&#1072;&#1085;&#1089;&#1082;&#1072;&#1103;%20&#1043;&#1056;&#1069;&#1057;%20&#1041;&#1051;2_&#1044;&#1055;&#1052;_INDEX.STATION.TSZ.2019(v1.0.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9/&#1060;&#1086;&#1088;&#1084;&#1072;%204/&#1060;&#1086;&#1088;&#1090;&#1091;&#1084;_&#1053;&#1103;&#1075;&#1072;&#1085;&#1089;&#1082;&#1072;&#1103;%20&#1043;&#1056;&#1069;&#1057;%20&#1041;&#1051;-3%20&#1044;&#1055;&#1052;_FORM4.2019.xlsb"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OTO/&#1060;&#1057;&#1058;%202019/&#1056;&#1044;/2019_&#1060;&#1086;&#1088;&#1090;&#1091;&#1084;_&#1053;&#1103;&#1075;&#1072;&#1085;&#1089;&#1082;&#1072;&#1103;%20&#1043;&#1056;&#1069;&#1057;%20&#1041;&#1051;3_&#1044;&#1055;&#1052;_INDEX.STATION.TSZ.2019(v1.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41;&#1040;&#1047;&#1040;%20&#1044;&#1040;&#1053;&#1053;&#1067;&#1061;/&#1058;&#1086;&#1087;&#1083;&#1080;&#1074;&#1086;/&#1056;&#1072;&#1089;&#1095;&#1077;&#1090;%20&#1079;&#1072;&#1090;&#1088;&#1072;&#1090;%20&#1085;&#1072;%20&#1090;&#1086;&#1087;&#1083;&#1080;&#1074;&#1086;/&#1056;&#1072;&#1089;&#1095;&#1077;&#1090;%20&#1079;&#1072;&#1090;&#1088;&#1072;&#1090;%20&#1085;&#1072;%20&#1090;&#1086;&#1087;&#1083;&#1080;&#1074;&#1086;_2017%20&#1075;&#1086;&#107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58;&#1072;&#1088;&#1080;&#1092;&#1099;%202019%20&#1075;&#1086;&#1076;%20&#1044;&#1054;&#1050;&#1059;&#1052;&#1045;&#1053;&#1058;&#1067;/&#1060;&#1072;&#1082;&#1090;%202017/&#1057;&#1084;&#1077;&#1090;&#1072;/&#1060;&#1072;&#1082;&#1090;&#1080;&#1095;&#1077;&#1089;&#1082;&#1072;&#1103;%20&#1089;&#1084;&#1077;&#1090;&#1072;%202017%20&#1085;&#1072;%20&#1087;&#1077;&#1095;&#1072;&#1090;&#110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58;&#1072;&#1088;&#1080;&#1092;&#1085;&#1099;&#1077;%20&#1088;&#1077;&#1096;&#1077;&#1085;&#1080;&#1103;/&#1056;&#1077;&#1075;&#1091;&#1083;&#1080;&#1088;&#1091;&#1077;&#1084;&#1099;&#1077;%20&#1090;&#1072;&#1088;&#1080;&#1092;&#1099;%20&#1060;&#1086;&#1088;&#1090;&#1091;&#1084;%20-%202017%20&#1075;&#1086;&#1076;/&#1059;&#1090;&#1074;&#1077;&#1088;&#1078;&#1076;&#1077;&#1085;&#1085;&#1099;&#1077;%20&#1090;&#1072;&#1088;&#1080;&#1092;&#109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69;&#1069;%20&#1080;%20&#1069;&#1052;/2018/&#1048;&#1085;&#1092;&#1086;&#1088;&#1084;&#1072;&#1094;&#1080;&#1103;%20&#1086;%20&#1090;&#1072;&#1088;&#1080;&#1092;&#1072;&#1093;%20&#1085;&#1072;%20&#1087;&#1086;&#1089;&#1090;&#1072;&#1074;&#1082;&#1091;%20&#1101;&#1083;&#1077;&#1082;&#1090;&#1088;&#1080;&#1095;&#1077;&#1089;&#1082;&#1086;&#1081;%20&#1101;&#1085;&#1077;&#1088;&#1075;&#1080;&#1080;%20(&#1084;&#1086;&#1097;&#1085;&#1086;&#1089;&#1090;&#1080;)%20&#1085;&#1072;%202018%20&#1075;&#1086;&#10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60;&#1057;&#1058;%202019/&#1056;&#1044;/&#1057;&#1074;&#1086;&#1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0"/>
      <sheetName val="ПУ"/>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modHTTP"/>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s>
    <sheetDataSet>
      <sheetData sheetId="0"/>
      <sheetData sheetId="1"/>
      <sheetData sheetId="2"/>
      <sheetData sheetId="3"/>
      <sheetData sheetId="4"/>
      <sheetData sheetId="5"/>
      <sheetData sheetId="6">
        <row r="65">
          <cell r="M65">
            <v>1242.2774012290345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ЭОР_ЧО"/>
      <sheetName val="Индексация_ЧО"/>
      <sheetName val="ТТЭЦ-1_ХОВ"/>
      <sheetName val="ТТЭЦ-2_ХОВ"/>
      <sheetName val="ТТЭЦ_ХОВ"/>
      <sheetName val="ТТЭЦ-1_ОВ"/>
      <sheetName val="ТТЭЦ_ОВ"/>
      <sheetName val="средний тариф"/>
      <sheetName val="ЭОР_ТО"/>
      <sheetName val="Индексация_ТО"/>
      <sheetName val="Челябинск_ХОВ"/>
      <sheetName val="ЧТЭЦ-1_ОВ"/>
      <sheetName val="ЧТЭЦ-2_ОВ"/>
      <sheetName val="ЧТЭЦ-3_ОВ"/>
      <sheetName val="АТЭЦ_ХОВ"/>
      <sheetName val="АТЭЦ_ОВ"/>
    </sheetNames>
    <sheetDataSet>
      <sheetData sheetId="0"/>
      <sheetData sheetId="1">
        <row r="3">
          <cell r="AU3">
            <v>2.8933550076390046E-2</v>
          </cell>
        </row>
        <row r="111">
          <cell r="AT111">
            <v>641.67249991295569</v>
          </cell>
          <cell r="AU111">
            <v>641.93004009946117</v>
          </cell>
          <cell r="BB111">
            <v>641.67586385126731</v>
          </cell>
          <cell r="BC111">
            <v>641.81403648616254</v>
          </cell>
        </row>
      </sheetData>
      <sheetData sheetId="2">
        <row r="8">
          <cell r="R8">
            <v>956</v>
          </cell>
        </row>
      </sheetData>
      <sheetData sheetId="3">
        <row r="8">
          <cell r="R8">
            <v>3295</v>
          </cell>
        </row>
      </sheetData>
      <sheetData sheetId="4"/>
      <sheetData sheetId="5">
        <row r="8">
          <cell r="R8">
            <v>408</v>
          </cell>
        </row>
      </sheetData>
      <sheetData sheetId="6"/>
      <sheetData sheetId="7"/>
      <sheetData sheetId="8">
        <row r="7">
          <cell r="AY7">
            <v>14239</v>
          </cell>
        </row>
      </sheetData>
      <sheetData sheetId="9">
        <row r="7">
          <cell r="S7">
            <v>346922.35546980414</v>
          </cell>
        </row>
        <row r="78">
          <cell r="AQ78">
            <v>559.33580645154927</v>
          </cell>
        </row>
        <row r="111">
          <cell r="AU111">
            <v>547.34348957321345</v>
          </cell>
          <cell r="BC111">
            <v>567.90720088177397</v>
          </cell>
        </row>
      </sheetData>
      <sheetData sheetId="10">
        <row r="8">
          <cell r="R8">
            <v>15375.12</v>
          </cell>
        </row>
      </sheetData>
      <sheetData sheetId="11">
        <row r="8">
          <cell r="R8">
            <v>566.39</v>
          </cell>
        </row>
      </sheetData>
      <sheetData sheetId="12">
        <row r="8">
          <cell r="R8">
            <v>136.35</v>
          </cell>
        </row>
      </sheetData>
      <sheetData sheetId="13">
        <row r="8">
          <cell r="R8">
            <v>286.91000000000003</v>
          </cell>
        </row>
      </sheetData>
      <sheetData sheetId="14">
        <row r="8">
          <cell r="R8">
            <v>23.98</v>
          </cell>
        </row>
      </sheetData>
      <sheetData sheetId="15">
        <row r="8">
          <cell r="R8">
            <v>147.83000000000001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крыть листы"/>
      <sheetName val="УРУТ для НР 2017"/>
      <sheetName val="УРУТ для НР 2016"/>
      <sheetName val="Базовые данные"/>
      <sheetName val="расшифровка"/>
      <sheetName val="дельта НВВ_Челябинск"/>
      <sheetName val="факт.НВВ_Челябинск"/>
      <sheetName val="дельта НВВ_АТЭЦ"/>
      <sheetName val="факт.НВВ_АТЭЦ"/>
      <sheetName val="дельта НВВ_Тюмень"/>
      <sheetName val="факт.НВВ_Тюмень"/>
      <sheetName val="проблемы"/>
      <sheetName val="3.1 АТЭЦ"/>
      <sheetName val="3.1 Челябинск"/>
      <sheetName val="3.1 Тюмень"/>
      <sheetName val="ПО ТЭ АТЭЦ"/>
      <sheetName val="ПО ТЭ Челябинск"/>
      <sheetName val="ПО ТЭ Тюмень"/>
      <sheetName val="Структура ПО АТЭЦ"/>
      <sheetName val="Структура ПО Челябинск"/>
      <sheetName val="Структура ПО Тюмень"/>
      <sheetName val="Смета ЧТЭЦ-1_ТЭ"/>
      <sheetName val="Смета ЧТЭЦ-2_ТЭ"/>
      <sheetName val="Смета ЧТЭЦ-3_ТЭ"/>
      <sheetName val="Смета ЧТЭЦ-4_ТЭ"/>
      <sheetName val="Смета Челябинск_ТЭ"/>
      <sheetName val="Смета АТЭЦ_ТЭ"/>
      <sheetName val="Смета ТТЭЦ-1_ТЭ"/>
      <sheetName val="Смета ТТЭЦ-2_ТЭ"/>
      <sheetName val="Смета Тюмень_ТЭ"/>
      <sheetName val="Смета ЧТЭЦ-1"/>
      <sheetName val="Смета ЧТЭЦ-2"/>
      <sheetName val="Смета ЧТЭЦ-3"/>
      <sheetName val="Смета ЧТЭЦ-4"/>
      <sheetName val="Смета Челябинск"/>
      <sheetName val="Смета АТЭЦ"/>
      <sheetName val="Смета ТТЭЦ-1"/>
      <sheetName val="Смета ТТЭЦ-2"/>
      <sheetName val="Смета Тюмень"/>
      <sheetName val="Эн.ресурсы (тех.н) ЧТЭЦ-2"/>
      <sheetName val="Эн.ресурсы (тех.н) ЧТЭЦ-3"/>
      <sheetName val="Эн.ресурсы (тех.н) ТТЭЦ-2"/>
      <sheetName val="Тех.вода ЧТЭЦ-1"/>
      <sheetName val="Тех.вода ЧТЭЦ-2"/>
      <sheetName val="Тех.вода ЧТЭЦ-3"/>
      <sheetName val="Тех.вода ЧТЭЦ-4"/>
      <sheetName val="Тех.вода АТЭЦ"/>
      <sheetName val="Тех.вода ТТЭЦ-1"/>
      <sheetName val="Тех.вода ТТЭЦ-2"/>
      <sheetName val="Труд ЧТЭЦ-1"/>
      <sheetName val="Труд ЧТЭЦ-2"/>
      <sheetName val="Труд ЧТЭЦ-3"/>
      <sheetName val="Труд ЧГРЭС"/>
      <sheetName val="Труд АТЭЦ"/>
      <sheetName val="Труд ТТЭЦ-1"/>
      <sheetName val="Труд ТТЭЦ-2"/>
      <sheetName val="Амортизация ЧТЭЦ-1"/>
      <sheetName val="Амортизация ЧТЭЦ-2"/>
      <sheetName val="Амортизация ЧТЭЦ-3"/>
      <sheetName val="Амортизация ЧГРЭС"/>
      <sheetName val="Амортизация АТЭЦ"/>
      <sheetName val="Амортизация ТТЭЦ-1"/>
      <sheetName val="Амортизация ТТЭЦ-2"/>
      <sheetName val="Фин.кап.влож._ЧО"/>
      <sheetName val="Фин.кап.влож._Тюмень"/>
      <sheetName val="Объекты кап.влож._Тюмень"/>
      <sheetName val="Объекты кап.влож._ЧО"/>
      <sheetName val="5.1 ЧТЭЦ-1"/>
      <sheetName val="5.1 ЧТЭЦ-2"/>
      <sheetName val="5.1 ЧТЭЦ-3"/>
      <sheetName val="5.1 ЧТЭЦ-4"/>
      <sheetName val="5.1 Челябинск"/>
      <sheetName val="5.1 АТЭЦ"/>
      <sheetName val="5.1 ТТЭЦ-1"/>
      <sheetName val="5.1 ТТЭЦ-2"/>
      <sheetName val="5.1 Тюмень"/>
      <sheetName val="5.2 Челябинск"/>
      <sheetName val="5.2 Тюмень"/>
      <sheetName val="5.2 АТЭЦ"/>
      <sheetName val="5.3 ЧТЭЦ-1"/>
      <sheetName val="5.3 ЧТЭЦ-2"/>
      <sheetName val="5.3 ЧТЭЦ-3"/>
      <sheetName val="5.3 ЧТЭЦ-4"/>
      <sheetName val="5.3 Челябинск"/>
      <sheetName val="5.3 АТЭЦ"/>
      <sheetName val="5.3 ТТЭЦ-1"/>
      <sheetName val="5.3 ТТЭЦ-2"/>
      <sheetName val="5.3 Тюмень"/>
      <sheetName val="5.4 ЧТЭЦ-1"/>
      <sheetName val="5.4 ЧТЭЦ-2"/>
      <sheetName val="5.4 ЧТЭЦ-3"/>
      <sheetName val="5.4 ЧТЭЦ-4"/>
      <sheetName val="5.4 Челябинск"/>
      <sheetName val="5.4 АТЭЦ"/>
      <sheetName val="5.4 ТТЭЦ-1"/>
      <sheetName val="5.4 ТТЭЦ-2"/>
      <sheetName val="5.4 Тюмень"/>
      <sheetName val="5.5 Челябинск"/>
      <sheetName val="5.6 Челябинск"/>
      <sheetName val="5.7 Челябинск"/>
      <sheetName val="5.9 АТЭЦ"/>
      <sheetName val="5.9 Челябинск"/>
      <sheetName val="5.9 ЧТЭЦ-1"/>
      <sheetName val="5.9 ЧТЭЦ-2"/>
      <sheetName val="5.9 ЧТЭЦ-3"/>
      <sheetName val="5.9 ЧГРЭС"/>
      <sheetName val="5.9 Тюмень"/>
      <sheetName val="5.9 ТТЭЦ-1"/>
      <sheetName val="5.9 ТТЭЦ-2"/>
      <sheetName val="6.1. ЧО"/>
      <sheetName val="6.1. ТО"/>
      <sheetName val="Челябинск_пг"/>
      <sheetName val="АТЭЦ_пг"/>
      <sheetName val="Тюмень_пг"/>
      <sheetName val="ПО ТН ЧТЭЦ-1"/>
      <sheetName val="ПО ТН ЧТЭЦ-2"/>
      <sheetName val="ПО ТН ЧТЭЦ-3"/>
      <sheetName val="ПО ТН ЧТЭЦ-4"/>
      <sheetName val="ПО ТН Челябинск"/>
      <sheetName val="ПО ТН АТЭЦ"/>
      <sheetName val="ПО ТН ТТЭЦ-1"/>
      <sheetName val="ПО ТН ТТЭЦ-2"/>
      <sheetName val="Тариф ХОВ ЧТЭЦ-1"/>
      <sheetName val="Тариф ОбВ ЧТЭЦ-1"/>
      <sheetName val="Тариф ХОВ ЧТЭЦ-2"/>
      <sheetName val="Тариф ОбВ ЧТЭЦ-2"/>
      <sheetName val="Тариф ХОВ ЧТЭЦ-3"/>
      <sheetName val="Тариф ОбВ ЧТЭЦ-3"/>
      <sheetName val="Тариф ХОВ ЧТЭЦ-4"/>
      <sheetName val="Тариф ХОВ Челябинск"/>
      <sheetName val="Тариф ХОВ АТЭЦ"/>
      <sheetName val="Тариф ОбВ АТЭЦ"/>
      <sheetName val="ТН_ЧО"/>
      <sheetName val="Тариф ХОВ ТТЭЦ-1"/>
      <sheetName val="Тариф ОбВ ТТЭЦ-1"/>
      <sheetName val="Тариф ХОВ ТТЭЦ-2"/>
      <sheetName val="ТН_Тюмень"/>
      <sheetName val="Заявление"/>
    </sheetNames>
    <sheetDataSet>
      <sheetData sheetId="0"/>
      <sheetData sheetId="1"/>
      <sheetData sheetId="2"/>
      <sheetData sheetId="3"/>
      <sheetData sheetId="4"/>
      <sheetData sheetId="5">
        <row r="51">
          <cell r="D51">
            <v>4094.6283319999998</v>
          </cell>
        </row>
      </sheetData>
      <sheetData sheetId="6"/>
      <sheetData sheetId="7">
        <row r="51">
          <cell r="D51">
            <v>613.11380000000008</v>
          </cell>
        </row>
      </sheetData>
      <sheetData sheetId="8"/>
      <sheetData sheetId="9">
        <row r="51">
          <cell r="D51">
            <v>3379.2738909999994</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4">
          <cell r="D14">
            <v>6.36</v>
          </cell>
        </row>
      </sheetData>
      <sheetData sheetId="40">
        <row r="18">
          <cell r="D18">
            <v>7.2560000000000003E-3</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9">
          <cell r="G9">
            <v>128034.30506779662</v>
          </cell>
        </row>
      </sheetData>
      <sheetData sheetId="64"/>
      <sheetData sheetId="65"/>
      <sheetData sheetId="66">
        <row r="11">
          <cell r="B11">
            <v>36447.536271186444</v>
          </cell>
        </row>
      </sheetData>
      <sheetData sheetId="67"/>
      <sheetData sheetId="68"/>
      <sheetData sheetId="69"/>
      <sheetData sheetId="70"/>
      <sheetData sheetId="71">
        <row r="9">
          <cell r="C9">
            <v>118082.86486</v>
          </cell>
        </row>
      </sheetData>
      <sheetData sheetId="72">
        <row r="9">
          <cell r="C9">
            <v>20789.298700000003</v>
          </cell>
        </row>
      </sheetData>
      <sheetData sheetId="73"/>
      <sheetData sheetId="74"/>
      <sheetData sheetId="75">
        <row r="9">
          <cell r="C9">
            <v>61571.390109999993</v>
          </cell>
        </row>
      </sheetData>
      <sheetData sheetId="76">
        <row r="10">
          <cell r="D10">
            <v>104</v>
          </cell>
        </row>
      </sheetData>
      <sheetData sheetId="77">
        <row r="10">
          <cell r="D10">
            <v>104</v>
          </cell>
        </row>
      </sheetData>
      <sheetData sheetId="78">
        <row r="10">
          <cell r="D10">
            <v>104</v>
          </cell>
        </row>
      </sheetData>
      <sheetData sheetId="79"/>
      <sheetData sheetId="80"/>
      <sheetData sheetId="81"/>
      <sheetData sheetId="82"/>
      <sheetData sheetId="83">
        <row r="10">
          <cell r="C10">
            <v>1683.8673700000002</v>
          </cell>
        </row>
      </sheetData>
      <sheetData sheetId="84">
        <row r="10">
          <cell r="C10">
            <v>0</v>
          </cell>
        </row>
      </sheetData>
      <sheetData sheetId="85"/>
      <sheetData sheetId="86"/>
      <sheetData sheetId="87">
        <row r="10">
          <cell r="C10">
            <v>0</v>
          </cell>
        </row>
      </sheetData>
      <sheetData sheetId="88"/>
      <sheetData sheetId="89"/>
      <sheetData sheetId="90"/>
      <sheetData sheetId="91"/>
      <sheetData sheetId="92">
        <row r="11">
          <cell r="C11">
            <v>36.089820000000003</v>
          </cell>
        </row>
      </sheetData>
      <sheetData sheetId="93">
        <row r="11">
          <cell r="C11">
            <v>0</v>
          </cell>
        </row>
      </sheetData>
      <sheetData sheetId="94"/>
      <sheetData sheetId="95"/>
      <sheetData sheetId="96">
        <row r="11">
          <cell r="C11">
            <v>3218.4728300000002</v>
          </cell>
        </row>
      </sheetData>
      <sheetData sheetId="97"/>
      <sheetData sheetId="98"/>
      <sheetData sheetId="99"/>
      <sheetData sheetId="100">
        <row r="14">
          <cell r="C14">
            <v>0</v>
          </cell>
        </row>
      </sheetData>
      <sheetData sheetId="101">
        <row r="14">
          <cell r="C14">
            <v>0</v>
          </cell>
        </row>
      </sheetData>
      <sheetData sheetId="102"/>
      <sheetData sheetId="103"/>
      <sheetData sheetId="104"/>
      <sheetData sheetId="105"/>
      <sheetData sheetId="106">
        <row r="14">
          <cell r="C14">
            <v>0</v>
          </cell>
        </row>
      </sheetData>
      <sheetData sheetId="107"/>
      <sheetData sheetId="108"/>
      <sheetData sheetId="109">
        <row r="23">
          <cell r="I23">
            <v>971.98007895896069</v>
          </cell>
        </row>
        <row r="24">
          <cell r="I24">
            <v>971.50953804854021</v>
          </cell>
        </row>
        <row r="26">
          <cell r="I26">
            <v>1054.3618386047988</v>
          </cell>
        </row>
        <row r="27">
          <cell r="I27">
            <v>1130.9671504575665</v>
          </cell>
        </row>
        <row r="30">
          <cell r="I30">
            <v>817.87725374884599</v>
          </cell>
        </row>
        <row r="31">
          <cell r="I31">
            <v>800.20856502218442</v>
          </cell>
        </row>
        <row r="35">
          <cell r="I35">
            <v>857.81446224660056</v>
          </cell>
        </row>
      </sheetData>
      <sheetData sheetId="110">
        <row r="16">
          <cell r="I16">
            <v>710.17783881266428</v>
          </cell>
        </row>
        <row r="17">
          <cell r="I17">
            <v>709.87105867398736</v>
          </cell>
        </row>
        <row r="21">
          <cell r="I21">
            <v>851.70376435992671</v>
          </cell>
        </row>
      </sheetData>
      <sheetData sheetId="111">
        <row r="18">
          <cell r="C18">
            <v>641.79999235432422</v>
          </cell>
        </row>
      </sheetData>
      <sheetData sheetId="112">
        <row r="18">
          <cell r="C18">
            <v>641.13199085024019</v>
          </cell>
        </row>
      </sheetData>
      <sheetData sheetId="113">
        <row r="18">
          <cell r="C18">
            <v>564.66799288410266</v>
          </cell>
        </row>
      </sheetData>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row r="39">
          <cell r="E39">
            <v>80.995829687251288</v>
          </cell>
        </row>
        <row r="42">
          <cell r="E42">
            <v>56.838362451514342</v>
          </cell>
        </row>
        <row r="45">
          <cell r="E45">
            <v>75.022671884114658</v>
          </cell>
        </row>
        <row r="49">
          <cell r="E49">
            <v>88.970828118426738</v>
          </cell>
        </row>
        <row r="51">
          <cell r="E51">
            <v>35.330106384937373</v>
          </cell>
        </row>
        <row r="52">
          <cell r="E52">
            <v>49.029050493490026</v>
          </cell>
        </row>
      </sheetData>
      <sheetData sheetId="133"/>
      <sheetData sheetId="134"/>
      <sheetData sheetId="135"/>
      <sheetData sheetId="136">
        <row r="21">
          <cell r="E21">
            <v>47.419928082587163</v>
          </cell>
        </row>
        <row r="22">
          <cell r="E22">
            <v>100.76825902438044</v>
          </cell>
        </row>
        <row r="24">
          <cell r="E24">
            <v>46.892196948217148</v>
          </cell>
        </row>
      </sheetData>
      <sheetData sheetId="13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Информация об организации"/>
      <sheetName val="Утв. тарифы на ТЭ и ТН"/>
    </sheetNames>
    <sheetDataSet>
      <sheetData sheetId="0"/>
      <sheetData sheetId="1"/>
      <sheetData sheetId="2">
        <row r="7">
          <cell r="N7">
            <v>632.27</v>
          </cell>
          <cell r="O7">
            <v>632.27</v>
          </cell>
          <cell r="P7">
            <v>632.27</v>
          </cell>
          <cell r="Q7">
            <v>632.27</v>
          </cell>
        </row>
        <row r="8">
          <cell r="N8">
            <v>641.62</v>
          </cell>
          <cell r="O8">
            <v>641.62</v>
          </cell>
          <cell r="P8">
            <v>641.62</v>
          </cell>
          <cell r="Q8">
            <v>641.62</v>
          </cell>
        </row>
        <row r="9">
          <cell r="N9">
            <v>535.04999999999995</v>
          </cell>
          <cell r="O9">
            <v>564.42999999999995</v>
          </cell>
          <cell r="P9">
            <v>564.42999999999995</v>
          </cell>
          <cell r="Q9">
            <v>572.35</v>
          </cell>
        </row>
        <row r="12">
          <cell r="N12">
            <v>662.85</v>
          </cell>
          <cell r="O12">
            <v>662.85</v>
          </cell>
          <cell r="P12">
            <v>662.85</v>
          </cell>
          <cell r="Q12">
            <v>662.85</v>
          </cell>
        </row>
        <row r="13">
          <cell r="N13">
            <v>701.48</v>
          </cell>
          <cell r="O13">
            <v>701.48</v>
          </cell>
          <cell r="P13">
            <v>701.48</v>
          </cell>
          <cell r="Q13">
            <v>701.48</v>
          </cell>
        </row>
        <row r="14">
          <cell r="N14">
            <v>706.62</v>
          </cell>
          <cell r="O14">
            <v>706.62</v>
          </cell>
          <cell r="P14">
            <v>706.62</v>
          </cell>
          <cell r="Q14">
            <v>706.62</v>
          </cell>
        </row>
        <row r="15">
          <cell r="N15">
            <v>636.96</v>
          </cell>
          <cell r="O15">
            <v>671.93</v>
          </cell>
          <cell r="P15">
            <v>671.93</v>
          </cell>
          <cell r="Q15">
            <v>681.36</v>
          </cell>
        </row>
        <row r="22">
          <cell r="N22">
            <v>15.73</v>
          </cell>
          <cell r="O22">
            <v>15.73</v>
          </cell>
          <cell r="P22">
            <v>15.73</v>
          </cell>
          <cell r="Q22">
            <v>20.45</v>
          </cell>
        </row>
        <row r="24">
          <cell r="N24">
            <v>28.16</v>
          </cell>
          <cell r="O24">
            <v>40.31</v>
          </cell>
          <cell r="P24">
            <v>35.270000000000003</v>
          </cell>
          <cell r="Q24">
            <v>35.270000000000003</v>
          </cell>
        </row>
        <row r="27">
          <cell r="N27">
            <v>29.33</v>
          </cell>
          <cell r="O27">
            <v>29.33</v>
          </cell>
          <cell r="P27">
            <v>29.33</v>
          </cell>
          <cell r="Q27">
            <v>29.83</v>
          </cell>
        </row>
        <row r="28">
          <cell r="N28">
            <v>48.3</v>
          </cell>
          <cell r="O28">
            <v>48.75</v>
          </cell>
          <cell r="P28">
            <v>48.75</v>
          </cell>
          <cell r="Q28">
            <v>50.98</v>
          </cell>
        </row>
        <row r="31">
          <cell r="N31">
            <v>29.09</v>
          </cell>
          <cell r="O31">
            <v>29.09</v>
          </cell>
          <cell r="P31">
            <v>29.09</v>
          </cell>
          <cell r="Q31">
            <v>35.74</v>
          </cell>
        </row>
        <row r="33">
          <cell r="N33">
            <v>48.02</v>
          </cell>
          <cell r="O33">
            <v>48.02</v>
          </cell>
          <cell r="P33">
            <v>37.39</v>
          </cell>
          <cell r="Q33">
            <v>37.39</v>
          </cell>
        </row>
        <row r="34">
          <cell r="N34">
            <v>55.73</v>
          </cell>
          <cell r="O34">
            <v>60.61</v>
          </cell>
          <cell r="P34">
            <v>53.44</v>
          </cell>
          <cell r="Q34">
            <v>53.44</v>
          </cell>
        </row>
        <row r="35">
          <cell r="N35">
            <v>52.37</v>
          </cell>
          <cell r="O35">
            <v>55.66</v>
          </cell>
          <cell r="P35">
            <v>55.66</v>
          </cell>
          <cell r="Q35">
            <v>80.37</v>
          </cell>
        </row>
        <row r="36">
          <cell r="N36">
            <v>50.8</v>
          </cell>
          <cell r="O36">
            <v>52.58</v>
          </cell>
          <cell r="P36">
            <v>57.02</v>
          </cell>
          <cell r="Q36">
            <v>57.02</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L11">
            <v>65</v>
          </cell>
        </row>
        <row r="12">
          <cell r="L12">
            <v>62.529492554190135</v>
          </cell>
        </row>
        <row r="13">
          <cell r="L13">
            <v>295.54000000000002</v>
          </cell>
        </row>
        <row r="15">
          <cell r="L15">
            <v>273.98200000000003</v>
          </cell>
        </row>
        <row r="16">
          <cell r="L16">
            <v>0</v>
          </cell>
        </row>
        <row r="17">
          <cell r="L17">
            <v>0</v>
          </cell>
        </row>
        <row r="20">
          <cell r="L20">
            <v>1616.375126689587</v>
          </cell>
        </row>
        <row r="31">
          <cell r="L31">
            <v>442536.73511667649</v>
          </cell>
        </row>
        <row r="32">
          <cell r="L32">
            <v>442536.73511667649</v>
          </cell>
        </row>
        <row r="33">
          <cell r="L33">
            <v>0</v>
          </cell>
        </row>
        <row r="43">
          <cell r="J43">
            <v>442857.68996066647</v>
          </cell>
          <cell r="K43">
            <v>0</v>
          </cell>
          <cell r="L43">
            <v>442857.68996066647</v>
          </cell>
        </row>
      </sheetData>
      <sheetData sheetId="7"/>
      <sheetData sheetId="8">
        <row r="170">
          <cell r="G170">
            <v>1615.203681689587</v>
          </cell>
        </row>
      </sheetData>
      <sheetData sheetId="9"/>
      <sheetData sheetId="10"/>
      <sheetData sheetId="11"/>
      <sheetData sheetId="12"/>
      <sheetData sheetId="13">
        <row r="24">
          <cell r="M24">
            <v>433.21460000000002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 val="Фортум_Челябинская ТЭЦ-1 без ДП"/>
    </sheetNames>
    <sheetDataSet>
      <sheetData sheetId="0"/>
      <sheetData sheetId="1"/>
      <sheetData sheetId="2"/>
      <sheetData sheetId="3"/>
      <sheetData sheetId="4">
        <row r="11">
          <cell r="J11">
            <v>50</v>
          </cell>
        </row>
      </sheetData>
      <sheetData sheetId="5"/>
      <sheetData sheetId="6"/>
      <sheetData sheetId="7"/>
      <sheetData sheetId="8"/>
      <sheetData sheetId="9"/>
      <sheetData sheetId="10"/>
      <sheetData sheetId="11"/>
      <sheetData sheetId="12"/>
      <sheetData sheetId="13"/>
      <sheetData sheetId="14"/>
      <sheetData sheetId="15">
        <row r="11">
          <cell r="J11">
            <v>50</v>
          </cell>
        </row>
      </sheetData>
      <sheetData sheetId="16"/>
      <sheetData sheetId="17"/>
      <sheetData sheetId="18"/>
      <sheetData sheetId="19"/>
      <sheetData sheetId="20">
        <row r="11">
          <cell r="H11">
            <v>50</v>
          </cell>
        </row>
        <row r="12">
          <cell r="H12">
            <v>30.998725217613927</v>
          </cell>
        </row>
        <row r="14">
          <cell r="H14">
            <v>3.8195444508448548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19_Фортум_Челябинская ТЭЦ-1 б"/>
    </sheetNames>
    <sheetDataSet>
      <sheetData sheetId="0"/>
      <sheetData sheetId="1"/>
      <sheetData sheetId="2"/>
      <sheetData sheetId="3"/>
      <sheetData sheetId="4">
        <row r="9">
          <cell r="K9">
            <v>104.5</v>
          </cell>
        </row>
      </sheetData>
      <sheetData sheetId="5"/>
      <sheetData sheetId="6">
        <row r="10">
          <cell r="K10">
            <v>119.09999948820692</v>
          </cell>
        </row>
        <row r="11">
          <cell r="I11">
            <v>50</v>
          </cell>
          <cell r="L11">
            <v>50</v>
          </cell>
        </row>
        <row r="12">
          <cell r="I12">
            <v>23.929945674166667</v>
          </cell>
          <cell r="L12">
            <v>25.279830975849116</v>
          </cell>
        </row>
        <row r="13">
          <cell r="I13">
            <v>285.22809999999998</v>
          </cell>
          <cell r="L13">
            <v>243.56400000000002</v>
          </cell>
        </row>
        <row r="15">
          <cell r="I15">
            <v>250.71364972881997</v>
          </cell>
          <cell r="L15">
            <v>201.08400000000003</v>
          </cell>
        </row>
        <row r="16">
          <cell r="I16">
            <v>731.76210000000003</v>
          </cell>
          <cell r="L16">
            <v>504.56799999999998</v>
          </cell>
        </row>
        <row r="17">
          <cell r="I17">
            <v>729.40510000000006</v>
          </cell>
          <cell r="L17">
            <v>502.44099999999997</v>
          </cell>
        </row>
        <row r="20">
          <cell r="G20">
            <v>552.03983769921831</v>
          </cell>
          <cell r="L20">
            <v>586.62826829413314</v>
          </cell>
        </row>
        <row r="21">
          <cell r="H21">
            <v>686245.52597842063</v>
          </cell>
          <cell r="L21">
            <v>717337.02606071508</v>
          </cell>
        </row>
        <row r="31">
          <cell r="I31">
            <v>507653.54076769279</v>
          </cell>
          <cell r="L31">
            <v>382221.22499401442</v>
          </cell>
        </row>
        <row r="32">
          <cell r="I32">
            <v>136587.02448885329</v>
          </cell>
          <cell r="L32">
            <v>116438.55307318774</v>
          </cell>
        </row>
        <row r="33">
          <cell r="I33">
            <v>371066.5162788395</v>
          </cell>
          <cell r="L33">
            <v>265782.67192082666</v>
          </cell>
        </row>
        <row r="43">
          <cell r="G43">
            <v>138403.92250527645</v>
          </cell>
          <cell r="H43">
            <v>197061.81786964243</v>
          </cell>
          <cell r="I43">
            <v>335465.74037491891</v>
          </cell>
          <cell r="J43">
            <v>117961.55870165749</v>
          </cell>
          <cell r="K43">
            <v>217609.90525839778</v>
          </cell>
          <cell r="L43">
            <v>335571.46396005526</v>
          </cell>
        </row>
      </sheetData>
      <sheetData sheetId="7"/>
      <sheetData sheetId="8">
        <row r="26">
          <cell r="G26">
            <v>180.2</v>
          </cell>
        </row>
        <row r="181">
          <cell r="G181">
            <v>579.05429110813247</v>
          </cell>
        </row>
      </sheetData>
      <sheetData sheetId="9">
        <row r="181">
          <cell r="G181">
            <v>544.79293264084436</v>
          </cell>
        </row>
      </sheetData>
      <sheetData sheetId="10">
        <row r="181">
          <cell r="G181">
            <v>530.75308310707851</v>
          </cell>
        </row>
      </sheetData>
      <sheetData sheetId="11"/>
      <sheetData sheetId="12"/>
      <sheetData sheetId="13">
        <row r="24">
          <cell r="L24">
            <v>178.8</v>
          </cell>
          <cell r="M24">
            <v>180.2</v>
          </cell>
        </row>
        <row r="28">
          <cell r="L28">
            <v>167.6</v>
          </cell>
          <cell r="M28">
            <v>166.8</v>
          </cell>
        </row>
      </sheetData>
      <sheetData sheetId="14">
        <row r="19">
          <cell r="G19">
            <v>0</v>
          </cell>
        </row>
      </sheetData>
      <sheetData sheetId="15"/>
      <sheetData sheetId="16"/>
      <sheetData sheetId="17">
        <row r="14">
          <cell r="G14">
            <v>119.09999948820692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ТЭЦ-1"/>
      <sheetName val="ТТЭЦ-1 ДМ"/>
      <sheetName val="ТТЭЦ-1 НМ"/>
      <sheetName val="ТТЭЦ-2"/>
      <sheetName val="Тюмень"/>
      <sheetName val="НГРЭС"/>
      <sheetName val="НГРЭС Б1"/>
      <sheetName val="НГРЭС Б2"/>
      <sheetName val="НГРЭС Б3"/>
      <sheetName val="ЗСР"/>
      <sheetName val="ЧТЭЦ-1"/>
      <sheetName val="ЧТЭЦ-1 ДМ"/>
      <sheetName val="ЧТЭЦ-1 НМ"/>
      <sheetName val="ЧТЭЦ-2"/>
      <sheetName val="ЧТЭЦ-3"/>
      <sheetName val="ЧТЭЦ-3 ДМ"/>
      <sheetName val="ЧТЭЦ-3 НМ"/>
      <sheetName val="ЧГРЭС"/>
      <sheetName val="ЧГРЭС ДМ"/>
      <sheetName val="ЧГРЭС Б1"/>
      <sheetName val="ЧГРЭС Б2"/>
      <sheetName val="ЧГРЭС Б3"/>
      <sheetName val="Челябинск"/>
      <sheetName val="АТЭЦ"/>
      <sheetName val="ЧО"/>
      <sheetName val="Фортум"/>
      <sheetName val="Свод на ЭЭ"/>
      <sheetName val="Лист1"/>
    </sheetNames>
    <sheetDataSet>
      <sheetData sheetId="0"/>
      <sheetData sheetId="1"/>
      <sheetData sheetId="2"/>
      <sheetData sheetId="3"/>
      <sheetData sheetId="4"/>
      <sheetData sheetId="5"/>
      <sheetData sheetId="6"/>
      <sheetData sheetId="7"/>
      <sheetData sheetId="8"/>
      <sheetData sheetId="9"/>
      <sheetData sheetId="10"/>
      <sheetData sheetId="11">
        <row r="7">
          <cell r="E7">
            <v>232.86999999999998</v>
          </cell>
        </row>
        <row r="22">
          <cell r="E22">
            <v>200.21965799999998</v>
          </cell>
        </row>
        <row r="23">
          <cell r="E23">
            <v>435.39499999999998</v>
          </cell>
        </row>
        <row r="26">
          <cell r="E26">
            <v>433.17528299999992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 val="Фортум_Челябинская ТЭЦ-1 (ТГ 10"/>
    </sheetNames>
    <sheetDataSet>
      <sheetData sheetId="0"/>
      <sheetData sheetId="1"/>
      <sheetData sheetId="2"/>
      <sheetData sheetId="3"/>
      <sheetData sheetId="4">
        <row r="11">
          <cell r="J11">
            <v>83.8</v>
          </cell>
        </row>
      </sheetData>
      <sheetData sheetId="5"/>
      <sheetData sheetId="6"/>
      <sheetData sheetId="7"/>
      <sheetData sheetId="8"/>
      <sheetData sheetId="9"/>
      <sheetData sheetId="10"/>
      <sheetData sheetId="11"/>
      <sheetData sheetId="12"/>
      <sheetData sheetId="13"/>
      <sheetData sheetId="14"/>
      <sheetData sheetId="15">
        <row r="11">
          <cell r="J11">
            <v>83.8</v>
          </cell>
        </row>
      </sheetData>
      <sheetData sheetId="16"/>
      <sheetData sheetId="17"/>
      <sheetData sheetId="18"/>
      <sheetData sheetId="19"/>
      <sheetData sheetId="20">
        <row r="11">
          <cell r="H11">
            <v>83.799999999999983</v>
          </cell>
        </row>
        <row r="12">
          <cell r="H12">
            <v>80.663782795698907</v>
          </cell>
        </row>
        <row r="14">
          <cell r="H14">
            <v>6.1228454621095763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19_Фортум_Челябинская ТЭЦ-1 ("/>
    </sheetNames>
    <sheetDataSet>
      <sheetData sheetId="0"/>
      <sheetData sheetId="1"/>
      <sheetData sheetId="2"/>
      <sheetData sheetId="3"/>
      <sheetData sheetId="4">
        <row r="9">
          <cell r="K9">
            <v>104.5</v>
          </cell>
        </row>
      </sheetData>
      <sheetData sheetId="5"/>
      <sheetData sheetId="6">
        <row r="10">
          <cell r="K10">
            <v>84</v>
          </cell>
        </row>
        <row r="11">
          <cell r="I11">
            <v>83.8</v>
          </cell>
          <cell r="L11">
            <v>83.799999999999983</v>
          </cell>
        </row>
        <row r="12">
          <cell r="I12">
            <v>77.245454743333326</v>
          </cell>
          <cell r="L12">
            <v>76.721799795186882</v>
          </cell>
        </row>
        <row r="13">
          <cell r="I13">
            <v>628.38499999999999</v>
          </cell>
          <cell r="L13">
            <v>564.92100000000005</v>
          </cell>
        </row>
        <row r="15">
          <cell r="I15">
            <v>586.57287227118002</v>
          </cell>
          <cell r="L15">
            <v>513.82900000000006</v>
          </cell>
        </row>
        <row r="16">
          <cell r="I16">
            <v>673.99089999999899</v>
          </cell>
          <cell r="L16">
            <v>798.33200000000011</v>
          </cell>
        </row>
        <row r="17">
          <cell r="I17">
            <v>673.99089999999899</v>
          </cell>
          <cell r="L17">
            <v>798.18600000000015</v>
          </cell>
        </row>
        <row r="20">
          <cell r="G20">
            <v>991.15906665367686</v>
          </cell>
          <cell r="L20">
            <v>727.84579817018891</v>
          </cell>
        </row>
        <row r="21">
          <cell r="H21">
            <v>123448.36794763198</v>
          </cell>
          <cell r="L21">
            <v>129003.37738887542</v>
          </cell>
        </row>
        <row r="31">
          <cell r="I31">
            <v>895436.22584825393</v>
          </cell>
          <cell r="L31">
            <v>876623.93160568562</v>
          </cell>
        </row>
        <row r="32">
          <cell r="I32">
            <v>580730.01206189569</v>
          </cell>
          <cell r="L32">
            <v>373386.35621508502</v>
          </cell>
        </row>
        <row r="33">
          <cell r="I33">
            <v>314706.21378635825</v>
          </cell>
          <cell r="L33">
            <v>503237.5753906006</v>
          </cell>
        </row>
        <row r="43">
          <cell r="G43">
            <v>581387.02060466923</v>
          </cell>
          <cell r="H43">
            <v>114429.90383324599</v>
          </cell>
          <cell r="I43">
            <v>695816.92443791521</v>
          </cell>
          <cell r="J43">
            <v>373988.27862799005</v>
          </cell>
          <cell r="K43">
            <v>118768.45551518687</v>
          </cell>
          <cell r="L43">
            <v>492756.73414317693</v>
          </cell>
        </row>
      </sheetData>
      <sheetData sheetId="7"/>
      <sheetData sheetId="8">
        <row r="26">
          <cell r="G26">
            <v>190.90805765545096</v>
          </cell>
        </row>
        <row r="170">
          <cell r="G170">
            <v>726.67435317018885</v>
          </cell>
        </row>
      </sheetData>
      <sheetData sheetId="9">
        <row r="170">
          <cell r="G170">
            <v>990.03898665367683</v>
          </cell>
        </row>
      </sheetData>
      <sheetData sheetId="10">
        <row r="170">
          <cell r="G170">
            <v>957.54169699950421</v>
          </cell>
        </row>
      </sheetData>
      <sheetData sheetId="11"/>
      <sheetData sheetId="12"/>
      <sheetData sheetId="13">
        <row r="24">
          <cell r="L24">
            <v>269.2</v>
          </cell>
          <cell r="M24">
            <v>190.90805765545096</v>
          </cell>
        </row>
        <row r="28">
          <cell r="L28">
            <v>127</v>
          </cell>
          <cell r="M28">
            <v>166.31488899764477</v>
          </cell>
        </row>
      </sheetData>
      <sheetData sheetId="14">
        <row r="19">
          <cell r="G19">
            <v>0</v>
          </cell>
        </row>
      </sheetData>
      <sheetData sheetId="15"/>
      <sheetData sheetId="16"/>
      <sheetData sheetId="17">
        <row r="15">
          <cell r="G15">
            <v>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row r="11">
          <cell r="J11">
            <v>50</v>
          </cell>
        </row>
      </sheetData>
      <sheetData sheetId="5"/>
      <sheetData sheetId="6"/>
      <sheetData sheetId="7"/>
      <sheetData sheetId="8"/>
      <sheetData sheetId="9"/>
      <sheetData sheetId="10"/>
      <sheetData sheetId="11"/>
      <sheetData sheetId="12"/>
      <sheetData sheetId="13"/>
      <sheetData sheetId="14"/>
      <sheetData sheetId="15">
        <row r="11">
          <cell r="J11">
            <v>50</v>
          </cell>
        </row>
      </sheetData>
      <sheetData sheetId="16"/>
      <sheetData sheetId="17"/>
      <sheetData sheetId="18"/>
      <sheetData sheetId="19"/>
      <sheetData sheetId="20">
        <row r="11">
          <cell r="H11">
            <v>50</v>
          </cell>
        </row>
        <row r="12">
          <cell r="H12">
            <v>34.85200716845879</v>
          </cell>
        </row>
        <row r="14">
          <cell r="H14">
            <v>2.1271622717187237</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ОО ТТЭЦ"/>
      <sheetName val="ТТЭЦ ДМ"/>
      <sheetName val="ТТЭЦ НМ"/>
      <sheetName val="ТТЭЦ-1"/>
      <sheetName val="ТТЭЦ-1 ДМ"/>
      <sheetName val="ТТЭЦ-1 НМ"/>
      <sheetName val="ТТЭЦ-2"/>
      <sheetName val="Тюмень"/>
      <sheetName val="НГРЭС"/>
      <sheetName val="НГРЭС Б1"/>
      <sheetName val="НГРЭС Б2"/>
      <sheetName val="НГРЭС Б3"/>
      <sheetName val="ЗСР"/>
      <sheetName val="ЧТЭЦ-1"/>
      <sheetName val="ЧТЭЦ-1 ДМ"/>
      <sheetName val="ЧТЭЦ-1 НМ"/>
      <sheetName val="ЧТЭЦ-2"/>
      <sheetName val="ЧТЭЦ-3"/>
      <sheetName val="ЧТЭЦ-3 ДМ"/>
      <sheetName val="ЧТЭЦ-3 НМ"/>
      <sheetName val="ЧГРЭС"/>
      <sheetName val="ЧГРЭС ДМ"/>
      <sheetName val="ЧГРЭС Б1"/>
      <sheetName val="ЧГРЭС Б2"/>
      <sheetName val="ЧГРЭС Б3"/>
      <sheetName val="Челябинск"/>
      <sheetName val="АТЭЦ"/>
      <sheetName val="ЧО"/>
      <sheetName val="Фортум"/>
      <sheetName val="Лист1"/>
    </sheetNames>
    <sheetDataSet>
      <sheetData sheetId="0"/>
      <sheetData sheetId="1"/>
      <sheetData sheetId="2"/>
      <sheetData sheetId="3"/>
      <sheetData sheetId="4"/>
      <sheetData sheetId="5">
        <row r="8">
          <cell r="E8">
            <v>524.44399999999996</v>
          </cell>
        </row>
      </sheetData>
      <sheetData sheetId="6">
        <row r="8">
          <cell r="E8">
            <v>1597.4020000000003</v>
          </cell>
        </row>
      </sheetData>
      <sheetData sheetId="7"/>
      <sheetData sheetId="8"/>
      <sheetData sheetId="9"/>
      <sheetData sheetId="10">
        <row r="9">
          <cell r="E9">
            <v>2768.2510000000002</v>
          </cell>
        </row>
      </sheetData>
      <sheetData sheetId="11">
        <row r="9">
          <cell r="E9">
            <v>3381.4109999999996</v>
          </cell>
        </row>
      </sheetData>
      <sheetData sheetId="12"/>
      <sheetData sheetId="13"/>
      <sheetData sheetId="14">
        <row r="8">
          <cell r="E8">
            <v>233.572</v>
          </cell>
        </row>
      </sheetData>
      <sheetData sheetId="15">
        <row r="7">
          <cell r="E7">
            <v>662.31700000000001</v>
          </cell>
        </row>
        <row r="22">
          <cell r="E22">
            <v>609.3730149999999</v>
          </cell>
        </row>
        <row r="23">
          <cell r="E23">
            <v>847.10699999999997</v>
          </cell>
        </row>
        <row r="26">
          <cell r="E26">
            <v>846.93317000000002</v>
          </cell>
        </row>
      </sheetData>
      <sheetData sheetId="16">
        <row r="8">
          <cell r="E8">
            <v>1005.5160000000001</v>
          </cell>
        </row>
      </sheetData>
      <sheetData sheetId="17"/>
      <sheetData sheetId="18">
        <row r="8">
          <cell r="E8">
            <v>1412.4109999999998</v>
          </cell>
        </row>
      </sheetData>
      <sheetData sheetId="19">
        <row r="8">
          <cell r="E8">
            <v>98.967999999999989</v>
          </cell>
        </row>
      </sheetData>
      <sheetData sheetId="20"/>
      <sheetData sheetId="21"/>
      <sheetData sheetId="22"/>
      <sheetData sheetId="23"/>
      <sheetData sheetId="24"/>
      <sheetData sheetId="25"/>
      <sheetData sheetId="26">
        <row r="8">
          <cell r="E8">
            <v>438.37900000000002</v>
          </cell>
        </row>
      </sheetData>
      <sheetData sheetId="27"/>
      <sheetData sheetId="28"/>
      <sheetData sheetId="2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 val="Фортум_Челябинская ТЭЦ-2_FORM4"/>
    </sheetNames>
    <sheetDataSet>
      <sheetData sheetId="0"/>
      <sheetData sheetId="1"/>
      <sheetData sheetId="2"/>
      <sheetData sheetId="3"/>
      <sheetData sheetId="4">
        <row r="11">
          <cell r="J11">
            <v>320</v>
          </cell>
        </row>
      </sheetData>
      <sheetData sheetId="5"/>
      <sheetData sheetId="6"/>
      <sheetData sheetId="7"/>
      <sheetData sheetId="8"/>
      <sheetData sheetId="9"/>
      <sheetData sheetId="10"/>
      <sheetData sheetId="11"/>
      <sheetData sheetId="12"/>
      <sheetData sheetId="13"/>
      <sheetData sheetId="14"/>
      <sheetData sheetId="15">
        <row r="11">
          <cell r="J11">
            <v>320</v>
          </cell>
        </row>
      </sheetData>
      <sheetData sheetId="16"/>
      <sheetData sheetId="17"/>
      <sheetData sheetId="18"/>
      <sheetData sheetId="19"/>
      <sheetData sheetId="20">
        <row r="11">
          <cell r="H11">
            <v>320</v>
          </cell>
        </row>
        <row r="12">
          <cell r="H12">
            <v>320</v>
          </cell>
        </row>
        <row r="14">
          <cell r="H14">
            <v>26.189455858508278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19_Фортум_Челябинская ТЭЦ-2_I"/>
    </sheetNames>
    <sheetDataSet>
      <sheetData sheetId="0"/>
      <sheetData sheetId="1"/>
      <sheetData sheetId="2"/>
      <sheetData sheetId="3"/>
      <sheetData sheetId="4">
        <row r="9">
          <cell r="K9">
            <v>104.5</v>
          </cell>
        </row>
      </sheetData>
      <sheetData sheetId="5"/>
      <sheetData sheetId="6">
        <row r="10">
          <cell r="K10">
            <v>320.00000543945725</v>
          </cell>
        </row>
        <row r="11">
          <cell r="I11">
            <v>320</v>
          </cell>
          <cell r="L11">
            <v>320</v>
          </cell>
        </row>
        <row r="12">
          <cell r="I12">
            <v>292.32064281166669</v>
          </cell>
          <cell r="L12">
            <v>292.65328767707797</v>
          </cell>
        </row>
        <row r="13">
          <cell r="I13">
            <v>2018.5041000000001</v>
          </cell>
          <cell r="L13">
            <v>2018.5000000000002</v>
          </cell>
        </row>
        <row r="15">
          <cell r="I15">
            <v>1785.3774000000001</v>
          </cell>
          <cell r="L15">
            <v>1779.2930000000001</v>
          </cell>
        </row>
        <row r="16">
          <cell r="I16">
            <v>2209.6379999999999</v>
          </cell>
          <cell r="L16">
            <v>2146.1390000000001</v>
          </cell>
        </row>
        <row r="17">
          <cell r="I17">
            <v>2199.9304999999999</v>
          </cell>
          <cell r="L17">
            <v>2135.3450000000003</v>
          </cell>
        </row>
        <row r="20">
          <cell r="L20">
            <v>893.56734333147267</v>
          </cell>
        </row>
        <row r="21">
          <cell r="H21">
            <v>299128.10198317887</v>
          </cell>
          <cell r="L21">
            <v>312674.49529454339</v>
          </cell>
        </row>
        <row r="31">
          <cell r="I31">
            <v>2539220.2641363069</v>
          </cell>
          <cell r="L31">
            <v>2743906.796769042</v>
          </cell>
        </row>
        <row r="32">
          <cell r="I32">
            <v>1401024.568177748</v>
          </cell>
          <cell r="L32">
            <v>1576441.7944290757</v>
          </cell>
        </row>
        <row r="33">
          <cell r="I33">
            <v>1138195.6959585589</v>
          </cell>
          <cell r="L33">
            <v>1167465.0023399664</v>
          </cell>
        </row>
        <row r="43">
          <cell r="G43">
            <v>1413963.0286889144</v>
          </cell>
          <cell r="H43">
            <v>1049295.8286570797</v>
          </cell>
          <cell r="I43">
            <v>2463258.8573459941</v>
          </cell>
          <cell r="J43">
            <v>1589918.119018286</v>
          </cell>
          <cell r="K43">
            <v>1098062.6282486299</v>
          </cell>
          <cell r="L43">
            <v>2687980.7472669156</v>
          </cell>
        </row>
      </sheetData>
      <sheetData sheetId="7"/>
      <sheetData sheetId="8">
        <row r="26">
          <cell r="G26">
            <v>278.58</v>
          </cell>
        </row>
        <row r="181">
          <cell r="G181">
            <v>885.99336614547212</v>
          </cell>
        </row>
      </sheetData>
      <sheetData sheetId="9">
        <row r="181">
          <cell r="G181">
            <v>784.72180065556324</v>
          </cell>
        </row>
      </sheetData>
      <sheetData sheetId="10">
        <row r="181">
          <cell r="G181">
            <v>764.13673035402974</v>
          </cell>
        </row>
      </sheetData>
      <sheetData sheetId="11"/>
      <sheetData sheetId="12"/>
      <sheetData sheetId="13">
        <row r="24">
          <cell r="L24">
            <v>260.10000000000002</v>
          </cell>
          <cell r="M24">
            <v>278.58</v>
          </cell>
        </row>
        <row r="28">
          <cell r="L28">
            <v>171.6</v>
          </cell>
          <cell r="M28">
            <v>172.56</v>
          </cell>
        </row>
      </sheetData>
      <sheetData sheetId="14">
        <row r="19">
          <cell r="G19">
            <v>0</v>
          </cell>
        </row>
      </sheetData>
      <sheetData sheetId="15"/>
      <sheetData sheetId="16"/>
      <sheetData sheetId="17">
        <row r="15">
          <cell r="G15">
            <v>1.0956465356665701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 val="Фортум_Челябинская ТЭЦ-3 без ДП"/>
    </sheetNames>
    <sheetDataSet>
      <sheetData sheetId="0"/>
      <sheetData sheetId="1"/>
      <sheetData sheetId="2"/>
      <sheetData sheetId="3"/>
      <sheetData sheetId="4">
        <row r="11">
          <cell r="J11">
            <v>360</v>
          </cell>
        </row>
      </sheetData>
      <sheetData sheetId="5"/>
      <sheetData sheetId="6"/>
      <sheetData sheetId="7"/>
      <sheetData sheetId="8"/>
      <sheetData sheetId="9"/>
      <sheetData sheetId="10"/>
      <sheetData sheetId="11"/>
      <sheetData sheetId="12"/>
      <sheetData sheetId="13"/>
      <sheetData sheetId="14"/>
      <sheetData sheetId="15">
        <row r="11">
          <cell r="J11">
            <v>360</v>
          </cell>
        </row>
      </sheetData>
      <sheetData sheetId="16"/>
      <sheetData sheetId="17"/>
      <sheetData sheetId="18"/>
      <sheetData sheetId="19"/>
      <sheetData sheetId="20">
        <row r="11">
          <cell r="H11">
            <v>360</v>
          </cell>
        </row>
        <row r="12">
          <cell r="H12">
            <v>360</v>
          </cell>
        </row>
        <row r="14">
          <cell r="H14">
            <v>23.510975902457755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19_Фортум_Челябинская ТЭЦ-3 б"/>
    </sheetNames>
    <sheetDataSet>
      <sheetData sheetId="0"/>
      <sheetData sheetId="1"/>
      <sheetData sheetId="2">
        <row r="8">
          <cell r="E8">
            <v>2019</v>
          </cell>
        </row>
      </sheetData>
      <sheetData sheetId="3"/>
      <sheetData sheetId="4">
        <row r="9">
          <cell r="K9">
            <v>104.5</v>
          </cell>
        </row>
      </sheetData>
      <sheetData sheetId="5"/>
      <sheetData sheetId="6">
        <row r="10">
          <cell r="K10">
            <v>360</v>
          </cell>
        </row>
        <row r="11">
          <cell r="I11">
            <v>360</v>
          </cell>
          <cell r="L11">
            <v>360</v>
          </cell>
        </row>
        <row r="12">
          <cell r="I12">
            <v>329.46082264249998</v>
          </cell>
          <cell r="L12">
            <v>331.13125638894223</v>
          </cell>
        </row>
        <row r="13">
          <cell r="I13">
            <v>2182.6057000000005</v>
          </cell>
          <cell r="L13">
            <v>2228.9164499999997</v>
          </cell>
        </row>
        <row r="15">
          <cell r="I15">
            <v>1965.0905000000005</v>
          </cell>
          <cell r="L15">
            <v>1976.2005259999996</v>
          </cell>
        </row>
        <row r="16">
          <cell r="I16">
            <v>2557.5659999999998</v>
          </cell>
          <cell r="L16">
            <v>2623.3537679999999</v>
          </cell>
        </row>
        <row r="17">
          <cell r="I17">
            <v>2536.7639999999997</v>
          </cell>
          <cell r="L17">
            <v>2602.5572790000001</v>
          </cell>
        </row>
        <row r="20">
          <cell r="G20">
            <v>698.58623022236986</v>
          </cell>
          <cell r="L20">
            <v>727.11426774082508</v>
          </cell>
        </row>
        <row r="21">
          <cell r="H21">
            <v>227996.84609504588</v>
          </cell>
          <cell r="L21">
            <v>238342.41176010773</v>
          </cell>
        </row>
        <row r="31">
          <cell r="I31">
            <v>2654942.2412034199</v>
          </cell>
          <cell r="L31">
            <v>2795817.8197610527</v>
          </cell>
        </row>
        <row r="32">
          <cell r="I32">
            <v>1358544.3401561799</v>
          </cell>
          <cell r="L32">
            <v>1421955.9006726367</v>
          </cell>
        </row>
        <row r="33">
          <cell r="I33">
            <v>1296397.90104724</v>
          </cell>
          <cell r="L33">
            <v>1373861.919088416</v>
          </cell>
        </row>
        <row r="43">
          <cell r="G43">
            <v>1372785.1644407923</v>
          </cell>
          <cell r="H43">
            <v>901392.34169243125</v>
          </cell>
          <cell r="I43">
            <v>2274177.5061332234</v>
          </cell>
          <cell r="J43">
            <v>1436923.5983715232</v>
          </cell>
          <cell r="K43">
            <v>947071.46708274097</v>
          </cell>
          <cell r="L43">
            <v>2383995.0654542642</v>
          </cell>
        </row>
      </sheetData>
      <sheetData sheetId="7"/>
      <sheetData sheetId="8">
        <row r="26">
          <cell r="G26">
            <v>226.75397751095107</v>
          </cell>
        </row>
        <row r="170">
          <cell r="G170">
            <v>719.54029055482442</v>
          </cell>
        </row>
      </sheetData>
      <sheetData sheetId="9">
        <row r="170">
          <cell r="G170">
            <v>691.33932516399602</v>
          </cell>
        </row>
      </sheetData>
      <sheetData sheetId="10">
        <row r="170">
          <cell r="G170">
            <v>669.45910491037841</v>
          </cell>
        </row>
      </sheetData>
      <sheetData sheetId="11"/>
      <sheetData sheetId="12"/>
      <sheetData sheetId="13">
        <row r="24">
          <cell r="L24">
            <v>224.6</v>
          </cell>
          <cell r="M24">
            <v>226.75397751095107</v>
          </cell>
        </row>
        <row r="28">
          <cell r="L28">
            <v>165.5</v>
          </cell>
          <cell r="M28">
            <v>165.84680695711455</v>
          </cell>
        </row>
      </sheetData>
      <sheetData sheetId="14">
        <row r="19">
          <cell r="G19">
            <v>0</v>
          </cell>
        </row>
      </sheetData>
      <sheetData sheetId="15"/>
      <sheetData sheetId="16"/>
      <sheetData sheetId="17">
        <row r="15">
          <cell r="G15">
            <v>1.0810323859285618</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 val="Фортум_Челябинская ТЭЦ-3 (БЛ 3)"/>
    </sheetNames>
    <sheetDataSet>
      <sheetData sheetId="0"/>
      <sheetData sheetId="1"/>
      <sheetData sheetId="2"/>
      <sheetData sheetId="3"/>
      <sheetData sheetId="4">
        <row r="11">
          <cell r="J11">
            <v>233</v>
          </cell>
        </row>
      </sheetData>
      <sheetData sheetId="5"/>
      <sheetData sheetId="6"/>
      <sheetData sheetId="7"/>
      <sheetData sheetId="8"/>
      <sheetData sheetId="9"/>
      <sheetData sheetId="10"/>
      <sheetData sheetId="11"/>
      <sheetData sheetId="12"/>
      <sheetData sheetId="13"/>
      <sheetData sheetId="14"/>
      <sheetData sheetId="15">
        <row r="11">
          <cell r="J11">
            <v>233</v>
          </cell>
        </row>
      </sheetData>
      <sheetData sheetId="16"/>
      <sheetData sheetId="17"/>
      <sheetData sheetId="18"/>
      <sheetData sheetId="19"/>
      <sheetData sheetId="20">
        <row r="11">
          <cell r="H11">
            <v>233</v>
          </cell>
        </row>
        <row r="12">
          <cell r="H12">
            <v>231.905729249872</v>
          </cell>
        </row>
        <row r="14">
          <cell r="H14">
            <v>24.157109521676052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19_Фортум_Челябинская ТЭЦ-3 ("/>
    </sheetNames>
    <sheetDataSet>
      <sheetData sheetId="0"/>
      <sheetData sheetId="1"/>
      <sheetData sheetId="2"/>
      <sheetData sheetId="3"/>
      <sheetData sheetId="4">
        <row r="9">
          <cell r="K9">
            <v>104.5</v>
          </cell>
        </row>
      </sheetData>
      <sheetData sheetId="5"/>
      <sheetData sheetId="6">
        <row r="11">
          <cell r="I11">
            <v>233</v>
          </cell>
          <cell r="L11">
            <v>233</v>
          </cell>
        </row>
        <row r="12">
          <cell r="I12">
            <v>227.35</v>
          </cell>
          <cell r="L12">
            <v>228.39680046500754</v>
          </cell>
        </row>
        <row r="13">
          <cell r="I13">
            <v>1382.81</v>
          </cell>
          <cell r="L13">
            <v>1184.3701000000001</v>
          </cell>
        </row>
        <row r="15">
          <cell r="I15">
            <v>1340.12</v>
          </cell>
          <cell r="L15">
            <v>1144.0811026666668</v>
          </cell>
        </row>
        <row r="16">
          <cell r="I16">
            <v>217.24700000000001</v>
          </cell>
          <cell r="L16">
            <v>166.33368000000002</v>
          </cell>
        </row>
        <row r="17">
          <cell r="I17">
            <v>217.24700000000001</v>
          </cell>
          <cell r="L17">
            <v>166.33368000000002</v>
          </cell>
        </row>
        <row r="20">
          <cell r="G20">
            <v>764.41172466675164</v>
          </cell>
          <cell r="L20">
            <v>798.08104072044284</v>
          </cell>
        </row>
        <row r="31">
          <cell r="I31">
            <v>1095224.5644611781</v>
          </cell>
          <cell r="L31">
            <v>992902.35048275301</v>
          </cell>
        </row>
        <row r="32">
          <cell r="I32">
            <v>1022902.3988508071</v>
          </cell>
          <cell r="L32">
            <v>911729.20899749175</v>
          </cell>
        </row>
        <row r="33">
          <cell r="I33">
            <v>72322.165610371041</v>
          </cell>
          <cell r="L33">
            <v>81173.141485261265</v>
          </cell>
        </row>
        <row r="43">
          <cell r="G43">
            <v>1024403.4404604072</v>
          </cell>
          <cell r="H43">
            <v>0</v>
          </cell>
          <cell r="I43">
            <v>1024403.4404604072</v>
          </cell>
          <cell r="J43">
            <v>913069.43708480522</v>
          </cell>
          <cell r="K43">
            <v>0</v>
          </cell>
          <cell r="L43">
            <v>913069.43708480522</v>
          </cell>
        </row>
      </sheetData>
      <sheetData sheetId="7"/>
      <sheetData sheetId="8">
        <row r="26">
          <cell r="G26">
            <v>251.36123397299556</v>
          </cell>
        </row>
        <row r="170">
          <cell r="G170">
            <v>796.90959572044278</v>
          </cell>
        </row>
      </sheetData>
      <sheetData sheetId="9">
        <row r="170">
          <cell r="G170">
            <v>763.29164466675161</v>
          </cell>
        </row>
      </sheetData>
      <sheetData sheetId="10">
        <row r="170">
          <cell r="G170">
            <v>738.75296719462665</v>
          </cell>
        </row>
      </sheetData>
      <sheetData sheetId="11"/>
      <sheetData sheetId="12"/>
      <sheetData sheetId="13">
        <row r="24">
          <cell r="L24">
            <v>248.5</v>
          </cell>
          <cell r="M24">
            <v>251.36123397299556</v>
          </cell>
        </row>
        <row r="28">
          <cell r="L28">
            <v>108.7</v>
          </cell>
          <cell r="M28">
            <v>154.54431969340186</v>
          </cell>
        </row>
      </sheetData>
      <sheetData sheetId="14">
        <row r="47">
          <cell r="G47">
            <v>798.08104072044284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 val="Фортум_Челябинская ГРЭС БЛ-1 ДП"/>
    </sheetNames>
    <sheetDataSet>
      <sheetData sheetId="0"/>
      <sheetData sheetId="1"/>
      <sheetData sheetId="2"/>
      <sheetData sheetId="3"/>
      <sheetData sheetId="4">
        <row r="11">
          <cell r="J11">
            <v>247</v>
          </cell>
        </row>
      </sheetData>
      <sheetData sheetId="5"/>
      <sheetData sheetId="6"/>
      <sheetData sheetId="7"/>
      <sheetData sheetId="8"/>
      <sheetData sheetId="9"/>
      <sheetData sheetId="10"/>
      <sheetData sheetId="11"/>
      <sheetData sheetId="12"/>
      <sheetData sheetId="13"/>
      <sheetData sheetId="14"/>
      <sheetData sheetId="15">
        <row r="11">
          <cell r="J11">
            <v>247</v>
          </cell>
        </row>
      </sheetData>
      <sheetData sheetId="16"/>
      <sheetData sheetId="17"/>
      <sheetData sheetId="18"/>
      <sheetData sheetId="19"/>
      <sheetData sheetId="20">
        <row r="11">
          <cell r="H11">
            <v>247</v>
          </cell>
        </row>
        <row r="12">
          <cell r="H12">
            <v>246.66928494623653</v>
          </cell>
        </row>
        <row r="14">
          <cell r="H14">
            <v>10.584938403524495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19_Фортум_Челябинская ГРЭС БЛ"/>
    </sheetNames>
    <sheetDataSet>
      <sheetData sheetId="0" refreshError="1"/>
      <sheetData sheetId="1" refreshError="1"/>
      <sheetData sheetId="2" refreshError="1"/>
      <sheetData sheetId="3" refreshError="1"/>
      <sheetData sheetId="4">
        <row r="9">
          <cell r="K9">
            <v>104.5</v>
          </cell>
        </row>
      </sheetData>
      <sheetData sheetId="5" refreshError="1"/>
      <sheetData sheetId="6">
        <row r="11">
          <cell r="I11">
            <v>247</v>
          </cell>
          <cell r="L11">
            <v>247</v>
          </cell>
        </row>
        <row r="12">
          <cell r="I12">
            <v>235.05375277351084</v>
          </cell>
          <cell r="L12">
            <v>234.19825121703789</v>
          </cell>
        </row>
        <row r="13">
          <cell r="I13">
            <v>1679.42</v>
          </cell>
          <cell r="L13">
            <v>1490.31764</v>
          </cell>
        </row>
        <row r="15">
          <cell r="I15">
            <v>1620.3200000000002</v>
          </cell>
          <cell r="L15">
            <v>1378.22189</v>
          </cell>
        </row>
        <row r="16">
          <cell r="I16">
            <v>867.92000000000007</v>
          </cell>
          <cell r="L16">
            <v>471.18</v>
          </cell>
        </row>
        <row r="17">
          <cell r="I17">
            <v>864.52807179809645</v>
          </cell>
          <cell r="L17">
            <v>467.17951950399998</v>
          </cell>
        </row>
        <row r="20">
          <cell r="G20">
            <v>885.0116446477299</v>
          </cell>
          <cell r="L20">
            <v>873.27281321436544</v>
          </cell>
        </row>
        <row r="31">
          <cell r="I31">
            <v>1950375.7699833126</v>
          </cell>
          <cell r="L31">
            <v>1496779.8888856869</v>
          </cell>
        </row>
        <row r="32">
          <cell r="I32">
            <v>1432187.1800300097</v>
          </cell>
          <cell r="L32">
            <v>1201949.1959719886</v>
          </cell>
        </row>
        <row r="33">
          <cell r="I33">
            <v>518188.58995330287</v>
          </cell>
          <cell r="L33">
            <v>294830.69291369827</v>
          </cell>
        </row>
        <row r="43">
          <cell r="G43">
            <v>1434002.0680556099</v>
          </cell>
          <cell r="H43">
            <v>0</v>
          </cell>
          <cell r="I43">
            <v>1434002.0680556099</v>
          </cell>
          <cell r="J43">
            <v>1203563.7071139198</v>
          </cell>
          <cell r="K43">
            <v>0</v>
          </cell>
          <cell r="L43">
            <v>1203563.7071139198</v>
          </cell>
        </row>
      </sheetData>
      <sheetData sheetId="7" refreshError="1"/>
      <sheetData sheetId="8">
        <row r="26">
          <cell r="G26">
            <v>226.12999999999997</v>
          </cell>
        </row>
        <row r="170">
          <cell r="G170">
            <v>872.10136821436538</v>
          </cell>
        </row>
      </sheetData>
      <sheetData sheetId="9">
        <row r="170">
          <cell r="G170">
            <v>883.89156464772998</v>
          </cell>
        </row>
      </sheetData>
      <sheetData sheetId="10">
        <row r="170">
          <cell r="G170">
            <v>854.82743196105423</v>
          </cell>
        </row>
      </sheetData>
      <sheetData sheetId="11" refreshError="1"/>
      <sheetData sheetId="12" refreshError="1"/>
      <sheetData sheetId="13">
        <row r="24">
          <cell r="L24">
            <v>242.2</v>
          </cell>
          <cell r="M24">
            <v>226.12999999999997</v>
          </cell>
        </row>
        <row r="28">
          <cell r="L28">
            <v>163.6</v>
          </cell>
          <cell r="M28">
            <v>166.36</v>
          </cell>
        </row>
      </sheetData>
      <sheetData sheetId="14">
        <row r="19">
          <cell r="G19">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row r="11">
          <cell r="J11">
            <v>247.5</v>
          </cell>
        </row>
      </sheetData>
      <sheetData sheetId="5"/>
      <sheetData sheetId="6"/>
      <sheetData sheetId="7"/>
      <sheetData sheetId="8"/>
      <sheetData sheetId="9"/>
      <sheetData sheetId="10"/>
      <sheetData sheetId="11"/>
      <sheetData sheetId="12"/>
      <sheetData sheetId="13"/>
      <sheetData sheetId="14"/>
      <sheetData sheetId="15">
        <row r="11">
          <cell r="J11">
            <v>247.5</v>
          </cell>
        </row>
      </sheetData>
      <sheetData sheetId="16"/>
      <sheetData sheetId="17"/>
      <sheetData sheetId="18"/>
      <sheetData sheetId="19"/>
      <sheetData sheetId="20">
        <row r="11">
          <cell r="H11">
            <v>247.5</v>
          </cell>
        </row>
        <row r="12">
          <cell r="H12">
            <v>246.84944623655915</v>
          </cell>
        </row>
        <row r="14">
          <cell r="H14">
            <v>10.968559363799285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row r="11">
          <cell r="J11">
            <v>145</v>
          </cell>
        </row>
      </sheetData>
      <sheetData sheetId="5"/>
      <sheetData sheetId="6"/>
      <sheetData sheetId="7"/>
      <sheetData sheetId="8"/>
      <sheetData sheetId="9"/>
      <sheetData sheetId="10"/>
      <sheetData sheetId="11"/>
      <sheetData sheetId="12"/>
      <sheetData sheetId="13"/>
      <sheetData sheetId="14"/>
      <sheetData sheetId="15">
        <row r="11">
          <cell r="J11">
            <v>145</v>
          </cell>
        </row>
      </sheetData>
      <sheetData sheetId="16"/>
      <sheetData sheetId="17"/>
      <sheetData sheetId="18"/>
      <sheetData sheetId="19"/>
      <sheetData sheetId="20">
        <row r="11">
          <cell r="H11">
            <v>145</v>
          </cell>
        </row>
        <row r="12">
          <cell r="H12">
            <v>142.9361111111111</v>
          </cell>
        </row>
        <row r="14">
          <cell r="H14">
            <v>12.013616871479774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19_Фортум_Челябинская ГРЭС БЛ"/>
    </sheetNames>
    <sheetDataSet>
      <sheetData sheetId="0"/>
      <sheetData sheetId="1"/>
      <sheetData sheetId="2"/>
      <sheetData sheetId="3"/>
      <sheetData sheetId="4">
        <row r="9">
          <cell r="K9">
            <v>104.5</v>
          </cell>
        </row>
      </sheetData>
      <sheetData sheetId="5"/>
      <sheetData sheetId="6">
        <row r="11">
          <cell r="I11">
            <v>247.5</v>
          </cell>
          <cell r="L11">
            <v>247.5</v>
          </cell>
        </row>
        <row r="12">
          <cell r="I12">
            <v>235.75607292200033</v>
          </cell>
          <cell r="L12">
            <v>233.29993194444444</v>
          </cell>
        </row>
        <row r="13">
          <cell r="I13">
            <v>1705.54</v>
          </cell>
          <cell r="L13">
            <v>1684.4164499999999</v>
          </cell>
        </row>
        <row r="15">
          <cell r="I15">
            <v>1647.47</v>
          </cell>
          <cell r="L15">
            <v>1557.63824</v>
          </cell>
        </row>
        <row r="16">
          <cell r="I16">
            <v>867.42399999999998</v>
          </cell>
          <cell r="L16">
            <v>513.64999999999986</v>
          </cell>
        </row>
        <row r="17">
          <cell r="I17">
            <v>824.68399999999997</v>
          </cell>
          <cell r="L17">
            <v>509.18273620799988</v>
          </cell>
        </row>
        <row r="20">
          <cell r="G20">
            <v>892.99247432847619</v>
          </cell>
          <cell r="L20">
            <v>881.85417083335824</v>
          </cell>
        </row>
        <row r="31">
          <cell r="I31">
            <v>1991901.6205680596</v>
          </cell>
          <cell r="L31">
            <v>1697517.6095841958</v>
          </cell>
        </row>
        <row r="32">
          <cell r="I32">
            <v>1469333.0134843346</v>
          </cell>
          <cell r="L32">
            <v>1371785.0910654746</v>
          </cell>
        </row>
        <row r="33">
          <cell r="I33">
            <v>522568.60708372504</v>
          </cell>
          <cell r="L33">
            <v>325732.51851872122</v>
          </cell>
        </row>
        <row r="43">
          <cell r="G43">
            <v>1471178.3116819346</v>
          </cell>
          <cell r="H43">
            <v>0</v>
          </cell>
          <cell r="I43">
            <v>1471178.3116819346</v>
          </cell>
          <cell r="J43">
            <v>1373609.7785935313</v>
          </cell>
          <cell r="K43">
            <v>0</v>
          </cell>
          <cell r="L43">
            <v>1373609.7785935313</v>
          </cell>
        </row>
      </sheetData>
      <sheetData sheetId="7"/>
      <sheetData sheetId="8">
        <row r="26">
          <cell r="G26">
            <v>226.6</v>
          </cell>
        </row>
        <row r="170">
          <cell r="G170">
            <v>880.68272583335818</v>
          </cell>
        </row>
      </sheetData>
      <sheetData sheetId="9">
        <row r="170">
          <cell r="G170">
            <v>891.87239432847616</v>
          </cell>
        </row>
      </sheetData>
      <sheetData sheetId="10">
        <row r="170">
          <cell r="G170">
            <v>862.54583590761717</v>
          </cell>
        </row>
      </sheetData>
      <sheetData sheetId="11"/>
      <sheetData sheetId="12"/>
      <sheetData sheetId="13">
        <row r="24">
          <cell r="L24">
            <v>242.2</v>
          </cell>
          <cell r="M24">
            <v>226.6</v>
          </cell>
        </row>
        <row r="28">
          <cell r="L28">
            <v>163.6</v>
          </cell>
          <cell r="M28">
            <v>167.09</v>
          </cell>
        </row>
      </sheetData>
      <sheetData sheetId="14">
        <row r="47">
          <cell r="G47">
            <v>881.85417083335824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row r="11">
          <cell r="J11">
            <v>247.5</v>
          </cell>
        </row>
      </sheetData>
      <sheetData sheetId="5"/>
      <sheetData sheetId="6"/>
      <sheetData sheetId="7"/>
      <sheetData sheetId="8"/>
      <sheetData sheetId="9"/>
      <sheetData sheetId="10"/>
      <sheetData sheetId="11"/>
      <sheetData sheetId="12"/>
      <sheetData sheetId="13"/>
      <sheetData sheetId="14"/>
      <sheetData sheetId="15">
        <row r="11">
          <cell r="J11">
            <v>247.5</v>
          </cell>
        </row>
      </sheetData>
      <sheetData sheetId="16"/>
      <sheetData sheetId="17"/>
      <sheetData sheetId="18"/>
      <sheetData sheetId="19"/>
      <sheetData sheetId="20">
        <row r="11">
          <cell r="H11">
            <v>41.25</v>
          </cell>
        </row>
        <row r="12">
          <cell r="H12">
            <v>41.25</v>
          </cell>
        </row>
        <row r="14">
          <cell r="H14">
            <v>3.6500447916666663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0">
          <cell r="K10">
            <v>247.5</v>
          </cell>
        </row>
        <row r="11">
          <cell r="I11">
            <v>247.5</v>
          </cell>
          <cell r="L11">
            <v>247.5</v>
          </cell>
        </row>
        <row r="12">
          <cell r="I12">
            <v>235.74626269416666</v>
          </cell>
          <cell r="L12">
            <v>233.21727289426522</v>
          </cell>
        </row>
        <row r="13">
          <cell r="I13">
            <v>1634.288</v>
          </cell>
          <cell r="L13">
            <v>1699.4006899999999</v>
          </cell>
        </row>
        <row r="15">
          <cell r="I15">
            <v>1576.014637349225</v>
          </cell>
          <cell r="L15">
            <v>1571.8845199999998</v>
          </cell>
        </row>
        <row r="16">
          <cell r="I16">
            <v>0</v>
          </cell>
          <cell r="L16">
            <v>523.93000000000006</v>
          </cell>
        </row>
        <row r="17">
          <cell r="I17">
            <v>0</v>
          </cell>
          <cell r="L17">
            <v>519.51772366400007</v>
          </cell>
        </row>
        <row r="20">
          <cell r="G20">
            <v>888.47811526397913</v>
          </cell>
          <cell r="L20">
            <v>863.47189652897714</v>
          </cell>
        </row>
        <row r="21">
          <cell r="H21">
            <v>110992.55</v>
          </cell>
          <cell r="K21">
            <v>115987.0476336</v>
          </cell>
        </row>
        <row r="31">
          <cell r="I31">
            <v>1398489.2521454808</v>
          </cell>
          <cell r="L31">
            <v>1680832.4252791402</v>
          </cell>
        </row>
        <row r="32">
          <cell r="I32">
            <v>1398489.2521454808</v>
          </cell>
          <cell r="L32">
            <v>1355436.7313474095</v>
          </cell>
        </row>
        <row r="33">
          <cell r="I33">
            <v>0</v>
          </cell>
          <cell r="L33">
            <v>325395.6939317307</v>
          </cell>
        </row>
        <row r="43">
          <cell r="G43">
            <v>1400254.5146204832</v>
          </cell>
          <cell r="H43">
            <v>313992.94619274518</v>
          </cell>
          <cell r="I43">
            <v>1714247.4608132283</v>
          </cell>
          <cell r="J43">
            <v>1357278.1076089407</v>
          </cell>
          <cell r="K43">
            <v>324602.19528198516</v>
          </cell>
          <cell r="L43">
            <v>1681880.3028909259</v>
          </cell>
        </row>
      </sheetData>
      <sheetData sheetId="7"/>
      <sheetData sheetId="8">
        <row r="26">
          <cell r="G26">
            <v>226.01</v>
          </cell>
        </row>
        <row r="170">
          <cell r="G170">
            <v>862.30045152897731</v>
          </cell>
        </row>
      </sheetData>
      <sheetData sheetId="9">
        <row r="170">
          <cell r="G170">
            <v>887.3580352639791</v>
          </cell>
        </row>
      </sheetData>
      <sheetData sheetId="10"/>
      <sheetData sheetId="11"/>
      <sheetData sheetId="12"/>
      <sheetData sheetId="13">
        <row r="24">
          <cell r="L24">
            <v>242.2</v>
          </cell>
          <cell r="M24">
            <v>226.01</v>
          </cell>
        </row>
        <row r="28">
          <cell r="L28">
            <v>163.6</v>
          </cell>
          <cell r="M28">
            <v>166.66</v>
          </cell>
        </row>
      </sheetData>
      <sheetData sheetId="14">
        <row r="47">
          <cell r="G47">
            <v>863.47189652897714</v>
          </cell>
        </row>
      </sheetData>
      <sheetData sheetId="15"/>
      <sheetData sheetId="16"/>
      <sheetData sheetId="17">
        <row r="15">
          <cell r="G15">
            <v>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6">
          <cell r="I26">
            <v>1.077</v>
          </cell>
        </row>
      </sheetData>
      <sheetData sheetId="8" refreshError="1"/>
      <sheetData sheetId="9">
        <row r="11">
          <cell r="N11">
            <v>247.5</v>
          </cell>
        </row>
        <row r="20">
          <cell r="G20">
            <v>859.25691805026997</v>
          </cell>
        </row>
      </sheetData>
      <sheetData sheetId="10">
        <row r="9">
          <cell r="L9">
            <v>247.5</v>
          </cell>
        </row>
      </sheetData>
      <sheetData sheetId="11">
        <row r="26">
          <cell r="H26">
            <v>242.2</v>
          </cell>
        </row>
      </sheetData>
      <sheetData sheetId="12" refreshError="1"/>
      <sheetData sheetId="13" refreshError="1"/>
      <sheetData sheetId="14" refreshError="1"/>
      <sheetData sheetId="15" refreshError="1"/>
      <sheetData sheetId="16">
        <row r="8">
          <cell r="N8">
            <v>1634.288</v>
          </cell>
        </row>
      </sheetData>
      <sheetData sheetId="17">
        <row r="12">
          <cell r="H12">
            <v>0</v>
          </cell>
        </row>
      </sheetData>
      <sheetData sheetId="18" refreshError="1"/>
      <sheetData sheetId="19" refreshError="1"/>
      <sheetData sheetId="20">
        <row r="20">
          <cell r="H20">
            <v>0</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 val="Фортум_Тюменская ТЭЦ-1 без ДПМ_"/>
    </sheetNames>
    <sheetDataSet>
      <sheetData sheetId="0"/>
      <sheetData sheetId="1"/>
      <sheetData sheetId="2"/>
      <sheetData sheetId="3"/>
      <sheetData sheetId="4">
        <row r="11">
          <cell r="J11">
            <v>472</v>
          </cell>
        </row>
      </sheetData>
      <sheetData sheetId="5"/>
      <sheetData sheetId="6"/>
      <sheetData sheetId="7"/>
      <sheetData sheetId="8"/>
      <sheetData sheetId="9"/>
      <sheetData sheetId="10"/>
      <sheetData sheetId="11"/>
      <sheetData sheetId="12"/>
      <sheetData sheetId="13"/>
      <sheetData sheetId="14"/>
      <sheetData sheetId="15">
        <row r="11">
          <cell r="J11">
            <v>472</v>
          </cell>
        </row>
      </sheetData>
      <sheetData sheetId="16"/>
      <sheetData sheetId="17"/>
      <sheetData sheetId="18"/>
      <sheetData sheetId="19"/>
      <sheetData sheetId="20">
        <row r="11">
          <cell r="H11">
            <v>450</v>
          </cell>
        </row>
        <row r="12">
          <cell r="H12">
            <v>450</v>
          </cell>
        </row>
        <row r="14">
          <cell r="H14">
            <v>22.507412299674531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19_Фортум_Тюменская ТЭЦ-1 без"/>
    </sheetNames>
    <sheetDataSet>
      <sheetData sheetId="0"/>
      <sheetData sheetId="1"/>
      <sheetData sheetId="2"/>
      <sheetData sheetId="3"/>
      <sheetData sheetId="4">
        <row r="9">
          <cell r="K9">
            <v>104.5</v>
          </cell>
        </row>
      </sheetData>
      <sheetData sheetId="5"/>
      <sheetData sheetId="6">
        <row r="10">
          <cell r="K10">
            <v>472</v>
          </cell>
        </row>
        <row r="11">
          <cell r="I11">
            <v>450</v>
          </cell>
          <cell r="L11">
            <v>472</v>
          </cell>
        </row>
        <row r="12">
          <cell r="I12">
            <v>425.32070852333334</v>
          </cell>
          <cell r="L12">
            <v>447.47269534583546</v>
          </cell>
        </row>
        <row r="13">
          <cell r="I13">
            <v>2465.5477000000001</v>
          </cell>
          <cell r="L13">
            <v>2465.5529999999999</v>
          </cell>
        </row>
        <row r="15">
          <cell r="I15">
            <v>2260.0266999999999</v>
          </cell>
          <cell r="L15">
            <v>2251.1030000000001</v>
          </cell>
        </row>
        <row r="16">
          <cell r="I16">
            <v>2170.5352000000012</v>
          </cell>
          <cell r="L16">
            <v>2180.5604760000001</v>
          </cell>
        </row>
        <row r="17">
          <cell r="I17">
            <v>2160.9260000000004</v>
          </cell>
          <cell r="L17">
            <v>2173.6874760000001</v>
          </cell>
        </row>
        <row r="20">
          <cell r="G20">
            <v>638.83875139311374</v>
          </cell>
          <cell r="L20">
            <v>689.93092849451978</v>
          </cell>
        </row>
        <row r="21">
          <cell r="H21">
            <v>181316.22903624867</v>
          </cell>
          <cell r="L21">
            <v>191839.22165358681</v>
          </cell>
        </row>
        <row r="31">
          <cell r="I31">
            <v>2354837.6844549906</v>
          </cell>
          <cell r="L31">
            <v>2524802.4417041992</v>
          </cell>
        </row>
        <row r="32">
          <cell r="I32">
            <v>1427407.1432113429</v>
          </cell>
          <cell r="L32">
            <v>1536048.1890608866</v>
          </cell>
        </row>
        <row r="33">
          <cell r="I33">
            <v>927430.54124364769</v>
          </cell>
          <cell r="L33">
            <v>988754.25264331256</v>
          </cell>
        </row>
        <row r="43">
          <cell r="G43">
            <v>1443792.6351430991</v>
          </cell>
          <cell r="H43">
            <v>925410.56400571531</v>
          </cell>
          <cell r="I43">
            <v>2369203.1991488142</v>
          </cell>
          <cell r="J43">
            <v>1553105.5829267991</v>
          </cell>
          <cell r="K43">
            <v>1030113.7630365317</v>
          </cell>
          <cell r="L43">
            <v>2583219.3459633309</v>
          </cell>
        </row>
      </sheetData>
      <sheetData sheetId="7"/>
      <sheetData sheetId="8">
        <row r="26">
          <cell r="G26">
            <v>255.00653425494542</v>
          </cell>
        </row>
        <row r="170">
          <cell r="G170">
            <v>682.35357913915379</v>
          </cell>
        </row>
      </sheetData>
      <sheetData sheetId="9">
        <row r="170">
          <cell r="G170">
            <v>631.58861937840948</v>
          </cell>
        </row>
      </sheetData>
      <sheetData sheetId="10">
        <row r="170">
          <cell r="G170">
            <v>612.65962690378774</v>
          </cell>
        </row>
      </sheetData>
      <sheetData sheetId="11"/>
      <sheetData sheetId="12"/>
      <sheetData sheetId="13">
        <row r="24">
          <cell r="L24">
            <v>243.6</v>
          </cell>
          <cell r="M24">
            <v>255.00653425494542</v>
          </cell>
        </row>
        <row r="28">
          <cell r="L28">
            <v>165.4</v>
          </cell>
          <cell r="M28">
            <v>170.26580059854334</v>
          </cell>
        </row>
      </sheetData>
      <sheetData sheetId="14">
        <row r="19">
          <cell r="G19">
            <v>0</v>
          </cell>
        </row>
      </sheetData>
      <sheetData sheetId="15"/>
      <sheetData sheetId="16"/>
      <sheetData sheetId="17">
        <row r="15">
          <cell r="G15">
            <v>1.0805716498749445</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 val="Фортум_Тюменская ТЭЦ-1 БЛ-2 ДПМ"/>
    </sheetNames>
    <sheetDataSet>
      <sheetData sheetId="0"/>
      <sheetData sheetId="1"/>
      <sheetData sheetId="2"/>
      <sheetData sheetId="3"/>
      <sheetData sheetId="4">
        <row r="11">
          <cell r="J11">
            <v>209.7</v>
          </cell>
        </row>
      </sheetData>
      <sheetData sheetId="5"/>
      <sheetData sheetId="6"/>
      <sheetData sheetId="7"/>
      <sheetData sheetId="8"/>
      <sheetData sheetId="9"/>
      <sheetData sheetId="10"/>
      <sheetData sheetId="11"/>
      <sheetData sheetId="12"/>
      <sheetData sheetId="13"/>
      <sheetData sheetId="14"/>
      <sheetData sheetId="15">
        <row r="11">
          <cell r="J11">
            <v>209.7</v>
          </cell>
        </row>
      </sheetData>
      <sheetData sheetId="16"/>
      <sheetData sheetId="17"/>
      <sheetData sheetId="18"/>
      <sheetData sheetId="19"/>
      <sheetData sheetId="20">
        <row r="11">
          <cell r="H11">
            <v>209.69999999999996</v>
          </cell>
        </row>
        <row r="12">
          <cell r="H12">
            <v>209.55573127240135</v>
          </cell>
        </row>
        <row r="14">
          <cell r="H14">
            <v>10.057165525260283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19_Фортум_Тюменская ТЭЦ-1 БЛ-"/>
    </sheetNames>
    <sheetDataSet>
      <sheetData sheetId="0" refreshError="1"/>
      <sheetData sheetId="1" refreshError="1"/>
      <sheetData sheetId="2" refreshError="1"/>
      <sheetData sheetId="3" refreshError="1"/>
      <sheetData sheetId="4">
        <row r="9">
          <cell r="K9">
            <v>104.5</v>
          </cell>
        </row>
      </sheetData>
      <sheetData sheetId="5" refreshError="1"/>
      <sheetData sheetId="6">
        <row r="11">
          <cell r="I11">
            <v>209.69999999999996</v>
          </cell>
          <cell r="L11">
            <v>209.69999999999996</v>
          </cell>
        </row>
        <row r="12">
          <cell r="I12">
            <v>200.28999999999996</v>
          </cell>
          <cell r="L12">
            <v>199.67732068185694</v>
          </cell>
        </row>
        <row r="13">
          <cell r="I13">
            <v>1302.72</v>
          </cell>
          <cell r="L13">
            <v>1302.7199999999998</v>
          </cell>
        </row>
        <row r="15">
          <cell r="I15">
            <v>1229.42</v>
          </cell>
          <cell r="L15">
            <v>1214.9579999999999</v>
          </cell>
        </row>
        <row r="16">
          <cell r="I16">
            <v>759.74</v>
          </cell>
          <cell r="L16">
            <v>927.68400000000008</v>
          </cell>
        </row>
        <row r="17">
          <cell r="I17">
            <v>759.74</v>
          </cell>
          <cell r="L17">
            <v>927.68400000000008</v>
          </cell>
        </row>
        <row r="20">
          <cell r="G20">
            <v>723.94985876267231</v>
          </cell>
          <cell r="L20">
            <v>583.72404464647445</v>
          </cell>
        </row>
        <row r="31">
          <cell r="I31">
            <v>1145266.2258344942</v>
          </cell>
          <cell r="L31">
            <v>1122623.9729861554</v>
          </cell>
        </row>
        <row r="32">
          <cell r="I32">
            <v>888661.38660640456</v>
          </cell>
          <cell r="L32">
            <v>707776.94136128109</v>
          </cell>
        </row>
        <row r="33">
          <cell r="I33">
            <v>256604.83922808967</v>
          </cell>
          <cell r="L33">
            <v>414847.03162487433</v>
          </cell>
        </row>
        <row r="43">
          <cell r="G43">
            <v>890038.43536000466</v>
          </cell>
          <cell r="H43">
            <v>0</v>
          </cell>
          <cell r="I43">
            <v>890038.43536000466</v>
          </cell>
          <cell r="J43">
            <v>709200.19783559127</v>
          </cell>
          <cell r="K43">
            <v>0</v>
          </cell>
          <cell r="L43">
            <v>709200.19783559127</v>
          </cell>
        </row>
      </sheetData>
      <sheetData sheetId="7" refreshError="1"/>
      <sheetData sheetId="8">
        <row r="26">
          <cell r="G26">
            <v>217.10333752885282</v>
          </cell>
        </row>
        <row r="170">
          <cell r="G170">
            <v>582.55259964647439</v>
          </cell>
        </row>
      </sheetData>
      <sheetData sheetId="9">
        <row r="170">
          <cell r="G170">
            <v>722.82977876267228</v>
          </cell>
        </row>
      </sheetData>
      <sheetData sheetId="10">
        <row r="170">
          <cell r="G170">
            <v>700.40903956565558</v>
          </cell>
        </row>
      </sheetData>
      <sheetData sheetId="11" refreshError="1"/>
      <sheetData sheetId="12" refreshError="1"/>
      <sheetData sheetId="13">
        <row r="24">
          <cell r="L24">
            <v>277.8</v>
          </cell>
          <cell r="M24">
            <v>217.10333752885282</v>
          </cell>
        </row>
        <row r="28">
          <cell r="L28">
            <v>130.19999999999999</v>
          </cell>
          <cell r="M28">
            <v>167.28592494858165</v>
          </cell>
        </row>
      </sheetData>
      <sheetData sheetId="14">
        <row r="47">
          <cell r="G47">
            <v>583.72404464647445</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s>
    <sheetDataSet>
      <sheetData sheetId="0"/>
      <sheetData sheetId="1"/>
      <sheetData sheetId="2"/>
      <sheetData sheetId="3"/>
      <sheetData sheetId="4">
        <row r="11">
          <cell r="J11">
            <v>755</v>
          </cell>
        </row>
      </sheetData>
      <sheetData sheetId="5"/>
      <sheetData sheetId="6"/>
      <sheetData sheetId="7"/>
      <sheetData sheetId="8"/>
      <sheetData sheetId="9"/>
      <sheetData sheetId="10"/>
      <sheetData sheetId="11"/>
      <sheetData sheetId="12"/>
      <sheetData sheetId="13"/>
      <sheetData sheetId="14"/>
      <sheetData sheetId="15">
        <row r="11">
          <cell r="J11">
            <v>755</v>
          </cell>
        </row>
      </sheetData>
      <sheetData sheetId="16"/>
      <sheetData sheetId="17"/>
      <sheetData sheetId="18"/>
      <sheetData sheetId="19"/>
      <sheetData sheetId="20">
        <row r="11">
          <cell r="H11">
            <v>755</v>
          </cell>
        </row>
        <row r="12">
          <cell r="H12">
            <v>755</v>
          </cell>
        </row>
        <row r="14">
          <cell r="H14">
            <v>44.78340737353858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19_Фортум_Тюменская ТЭЦ-2_IND"/>
    </sheetNames>
    <sheetDataSet>
      <sheetData sheetId="0" refreshError="1"/>
      <sheetData sheetId="1" refreshError="1"/>
      <sheetData sheetId="2" refreshError="1"/>
      <sheetData sheetId="3" refreshError="1"/>
      <sheetData sheetId="4">
        <row r="9">
          <cell r="K9">
            <v>104.5</v>
          </cell>
        </row>
      </sheetData>
      <sheetData sheetId="5" refreshError="1"/>
      <sheetData sheetId="6">
        <row r="10">
          <cell r="K10">
            <v>755</v>
          </cell>
        </row>
        <row r="11">
          <cell r="I11">
            <v>755</v>
          </cell>
          <cell r="L11">
            <v>755</v>
          </cell>
        </row>
        <row r="12">
          <cell r="I12">
            <v>710.30698251833337</v>
          </cell>
          <cell r="L12">
            <v>709.11212042016223</v>
          </cell>
        </row>
        <row r="13">
          <cell r="I13">
            <v>4231.9376000000002</v>
          </cell>
          <cell r="L13">
            <v>4231.9376000000011</v>
          </cell>
        </row>
        <row r="15">
          <cell r="I15">
            <v>3840.2415000000001</v>
          </cell>
          <cell r="L15">
            <v>3830.3590457317882</v>
          </cell>
        </row>
        <row r="16">
          <cell r="I16">
            <v>2802.0590000000002</v>
          </cell>
          <cell r="L16">
            <v>2814.4745749999997</v>
          </cell>
        </row>
        <row r="17">
          <cell r="I17">
            <v>2791.9110000000001</v>
          </cell>
          <cell r="L17">
            <v>2803.0045749999999</v>
          </cell>
        </row>
        <row r="20">
          <cell r="G20">
            <v>768.15327758753085</v>
          </cell>
          <cell r="L20">
            <v>808.43122040803019</v>
          </cell>
        </row>
        <row r="21">
          <cell r="H21">
            <v>174977.22502987774</v>
          </cell>
          <cell r="L21">
            <v>182912.55642123453</v>
          </cell>
        </row>
        <row r="31">
          <cell r="I31">
            <v>4203484.7655147742</v>
          </cell>
          <cell r="L31">
            <v>4410562.7710970491</v>
          </cell>
        </row>
        <row r="32">
          <cell r="I32">
            <v>2922051.843144937</v>
          </cell>
          <cell r="L32">
            <v>3067557.8755868911</v>
          </cell>
        </row>
        <row r="33">
          <cell r="I33">
            <v>1281432.9223698373</v>
          </cell>
          <cell r="L33">
            <v>1343004.895510158</v>
          </cell>
        </row>
        <row r="43">
          <cell r="G43">
            <v>2949894.094952656</v>
          </cell>
          <cell r="H43">
            <v>1491450.5366448462</v>
          </cell>
          <cell r="I43">
            <v>4441344.6315975022</v>
          </cell>
          <cell r="J43">
            <v>3096581.8379418873</v>
          </cell>
          <cell r="K43">
            <v>1556466.1288240103</v>
          </cell>
          <cell r="L43">
            <v>4653047.9667658973</v>
          </cell>
        </row>
      </sheetData>
      <sheetData sheetId="7" refreshError="1"/>
      <sheetData sheetId="8">
        <row r="26">
          <cell r="G26">
            <v>276.59685817678053</v>
          </cell>
        </row>
        <row r="170">
          <cell r="G170">
            <v>800.85387269506884</v>
          </cell>
        </row>
      </sheetData>
      <sheetData sheetId="9">
        <row r="170">
          <cell r="G170">
            <v>760.90314714450574</v>
          </cell>
        </row>
      </sheetData>
      <sheetData sheetId="10">
        <row r="170">
          <cell r="G170">
            <v>737.0390488910823</v>
          </cell>
        </row>
      </sheetData>
      <sheetData sheetId="11" refreshError="1"/>
      <sheetData sheetId="12" refreshError="1"/>
      <sheetData sheetId="13">
        <row r="24">
          <cell r="L24">
            <v>271</v>
          </cell>
          <cell r="M24">
            <v>276.59685817678053</v>
          </cell>
        </row>
        <row r="28">
          <cell r="L28">
            <v>164.4</v>
          </cell>
          <cell r="M28">
            <v>166.41749564599758</v>
          </cell>
        </row>
      </sheetData>
      <sheetData sheetId="14">
        <row r="19">
          <cell r="G19">
            <v>0</v>
          </cell>
        </row>
      </sheetData>
      <sheetData sheetId="15" refreshError="1"/>
      <sheetData sheetId="16" refreshError="1"/>
      <sheetData sheetId="17">
        <row r="15">
          <cell r="G15">
            <v>1.0655526584127499</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19_Фортум_Аргаяшская ТЭЦ без "/>
    </sheetNames>
    <sheetDataSet>
      <sheetData sheetId="0"/>
      <sheetData sheetId="1"/>
      <sheetData sheetId="2"/>
      <sheetData sheetId="3"/>
      <sheetData sheetId="4">
        <row r="9">
          <cell r="K9">
            <v>148.05358111383839</v>
          </cell>
        </row>
      </sheetData>
      <sheetData sheetId="5"/>
      <sheetData sheetId="6">
        <row r="10">
          <cell r="K10">
            <v>186.6</v>
          </cell>
        </row>
        <row r="11">
          <cell r="L11">
            <v>195</v>
          </cell>
        </row>
        <row r="12">
          <cell r="L12">
            <v>166.91666922336361</v>
          </cell>
        </row>
        <row r="13">
          <cell r="L13">
            <v>996.20300000000009</v>
          </cell>
        </row>
        <row r="15">
          <cell r="L15">
            <v>884.31012300000009</v>
          </cell>
        </row>
        <row r="16">
          <cell r="L16">
            <v>1604.6680000000003</v>
          </cell>
        </row>
        <row r="17">
          <cell r="L17">
            <v>1601.6280000000004</v>
          </cell>
        </row>
        <row r="20">
          <cell r="L20">
            <v>1137.7726190487215</v>
          </cell>
        </row>
        <row r="21">
          <cell r="L21">
            <v>393517.81602507108</v>
          </cell>
        </row>
        <row r="31">
          <cell r="L31">
            <v>1862424.1989781561</v>
          </cell>
        </row>
        <row r="32">
          <cell r="L32">
            <v>997888.26809708925</v>
          </cell>
        </row>
        <row r="33">
          <cell r="L33">
            <v>864535.93088106683</v>
          </cell>
        </row>
        <row r="43">
          <cell r="J43">
            <v>1006143.8446970071</v>
          </cell>
          <cell r="K43">
            <v>788216.19757148693</v>
          </cell>
          <cell r="L43">
            <v>1794360.0422684941</v>
          </cell>
        </row>
      </sheetData>
      <sheetData sheetId="7"/>
      <sheetData sheetId="8">
        <row r="26">
          <cell r="G26">
            <v>356.6971224942713</v>
          </cell>
        </row>
        <row r="181">
          <cell r="G181">
            <v>1128.4370065919613</v>
          </cell>
        </row>
      </sheetData>
      <sheetData sheetId="9"/>
      <sheetData sheetId="10"/>
      <sheetData sheetId="11"/>
      <sheetData sheetId="12"/>
      <sheetData sheetId="13">
        <row r="25">
          <cell r="M25">
            <v>356.6971224942713</v>
          </cell>
        </row>
        <row r="28">
          <cell r="M28">
            <v>171.78231514643528</v>
          </cell>
        </row>
      </sheetData>
      <sheetData sheetId="14">
        <row r="19">
          <cell r="G19">
            <v>0</v>
          </cell>
        </row>
      </sheetData>
      <sheetData sheetId="15"/>
      <sheetData sheetId="16"/>
      <sheetData sheetId="17">
        <row r="14">
          <cell r="G14">
            <v>186.6</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 val="Фортум_Няганская ГРЭС БЛ-1 ДПМ_"/>
    </sheetNames>
    <sheetDataSet>
      <sheetData sheetId="0"/>
      <sheetData sheetId="1"/>
      <sheetData sheetId="2"/>
      <sheetData sheetId="3"/>
      <sheetData sheetId="4">
        <row r="11">
          <cell r="J11">
            <v>453.2</v>
          </cell>
        </row>
      </sheetData>
      <sheetData sheetId="5"/>
      <sheetData sheetId="6"/>
      <sheetData sheetId="7"/>
      <sheetData sheetId="8"/>
      <sheetData sheetId="9"/>
      <sheetData sheetId="10"/>
      <sheetData sheetId="11"/>
      <sheetData sheetId="12"/>
      <sheetData sheetId="13"/>
      <sheetData sheetId="14"/>
      <sheetData sheetId="15">
        <row r="11">
          <cell r="J11">
            <v>453.2</v>
          </cell>
        </row>
      </sheetData>
      <sheetData sheetId="16"/>
      <sheetData sheetId="17"/>
      <sheetData sheetId="18"/>
      <sheetData sheetId="19"/>
      <sheetData sheetId="20">
        <row r="11">
          <cell r="H11">
            <v>453.19999999999987</v>
          </cell>
        </row>
        <row r="12">
          <cell r="H12">
            <v>445.04029157706094</v>
          </cell>
        </row>
        <row r="14">
          <cell r="H14">
            <v>6.7297903115577169</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19_Фортум_Няганская ГРЭС БЛ1_"/>
    </sheetNames>
    <sheetDataSet>
      <sheetData sheetId="0"/>
      <sheetData sheetId="1"/>
      <sheetData sheetId="2"/>
      <sheetData sheetId="3"/>
      <sheetData sheetId="4">
        <row r="9">
          <cell r="K9">
            <v>104.5</v>
          </cell>
        </row>
      </sheetData>
      <sheetData sheetId="5"/>
      <sheetData sheetId="6">
        <row r="11">
          <cell r="I11">
            <v>453.19999999999987</v>
          </cell>
          <cell r="L11">
            <v>453.19999999999987</v>
          </cell>
        </row>
        <row r="12">
          <cell r="I12">
            <v>440.33074709551448</v>
          </cell>
          <cell r="L12">
            <v>441.72819071488993</v>
          </cell>
        </row>
        <row r="13">
          <cell r="I13">
            <v>3227.9681</v>
          </cell>
          <cell r="L13">
            <v>3227.9678999999996</v>
          </cell>
        </row>
        <row r="15">
          <cell r="I15">
            <v>3168.8906999999999</v>
          </cell>
          <cell r="L15">
            <v>3165.9323258800414</v>
          </cell>
        </row>
        <row r="16">
          <cell r="I16">
            <v>15.649999999999999</v>
          </cell>
          <cell r="L16">
            <v>37.174000000000007</v>
          </cell>
        </row>
        <row r="17">
          <cell r="I17">
            <v>0</v>
          </cell>
          <cell r="L17">
            <v>0</v>
          </cell>
        </row>
        <row r="20">
          <cell r="G20">
            <v>513.01650137224078</v>
          </cell>
          <cell r="L20">
            <v>529.34887642860531</v>
          </cell>
        </row>
        <row r="31">
          <cell r="I31">
            <v>1627721.4258249267</v>
          </cell>
          <cell r="L31">
            <v>1685844.1740645824</v>
          </cell>
        </row>
        <row r="32">
          <cell r="I32">
            <v>1622143.8090497749</v>
          </cell>
          <cell r="L32">
            <v>1672174.0039601102</v>
          </cell>
        </row>
        <row r="33">
          <cell r="I33">
            <v>5577.6167751518078</v>
          </cell>
          <cell r="L33">
            <v>13670.170104472199</v>
          </cell>
        </row>
        <row r="43">
          <cell r="G43">
            <v>1625693.2201450311</v>
          </cell>
          <cell r="H43">
            <v>0</v>
          </cell>
          <cell r="I43">
            <v>1625693.2201450311</v>
          </cell>
          <cell r="J43">
            <v>1675882.719553601</v>
          </cell>
          <cell r="K43">
            <v>0</v>
          </cell>
          <cell r="L43">
            <v>1675882.719553601</v>
          </cell>
        </row>
      </sheetData>
      <sheetData sheetId="7"/>
      <sheetData sheetId="8">
        <row r="26">
          <cell r="G26">
            <v>218.00674745672606</v>
          </cell>
        </row>
        <row r="170">
          <cell r="G170">
            <v>528.17743142860525</v>
          </cell>
        </row>
      </sheetData>
      <sheetData sheetId="9">
        <row r="170">
          <cell r="G170">
            <v>511.89642137224075</v>
          </cell>
        </row>
      </sheetData>
      <sheetData sheetId="10">
        <row r="170">
          <cell r="G170">
            <v>495.20255109379065</v>
          </cell>
        </row>
      </sheetData>
      <sheetData sheetId="11"/>
      <sheetData sheetId="12"/>
      <sheetData sheetId="13">
        <row r="24">
          <cell r="L24">
            <v>218.1</v>
          </cell>
          <cell r="M24">
            <v>218.00674745672606</v>
          </cell>
        </row>
        <row r="28">
          <cell r="L28">
            <v>152.30000000000001</v>
          </cell>
          <cell r="M28">
            <v>152.50173528916113</v>
          </cell>
        </row>
      </sheetData>
      <sheetData sheetId="14">
        <row r="19">
          <cell r="G19">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19_Фортум_Няганская ГРЭС БЛ2_"/>
    </sheetNames>
    <sheetDataSet>
      <sheetData sheetId="0"/>
      <sheetData sheetId="1"/>
      <sheetData sheetId="2"/>
      <sheetData sheetId="3"/>
      <sheetData sheetId="4">
        <row r="9">
          <cell r="K9">
            <v>104.5</v>
          </cell>
        </row>
      </sheetData>
      <sheetData sheetId="5"/>
      <sheetData sheetId="6">
        <row r="11">
          <cell r="I11">
            <v>453.10000000000008</v>
          </cell>
          <cell r="L11">
            <v>453.10000000000008</v>
          </cell>
        </row>
        <row r="12">
          <cell r="I12">
            <v>441.61686140212163</v>
          </cell>
          <cell r="L12">
            <v>440.78810344381935</v>
          </cell>
        </row>
        <row r="13">
          <cell r="I13">
            <v>3210.5663000000004</v>
          </cell>
          <cell r="L13">
            <v>3210.5663</v>
          </cell>
        </row>
        <row r="15">
          <cell r="I15">
            <v>3147.3052000000002</v>
          </cell>
          <cell r="L15">
            <v>3145.5655754729023</v>
          </cell>
        </row>
        <row r="16">
          <cell r="I16">
            <v>17.32</v>
          </cell>
          <cell r="L16">
            <v>38.775999999999996</v>
          </cell>
        </row>
        <row r="17">
          <cell r="I17">
            <v>0</v>
          </cell>
          <cell r="L17">
            <v>0</v>
          </cell>
        </row>
        <row r="20">
          <cell r="G20">
            <v>616.15743987554129</v>
          </cell>
          <cell r="L20">
            <v>638.70203754466047</v>
          </cell>
        </row>
        <row r="31">
          <cell r="I31">
            <v>1943123.0905044901</v>
          </cell>
          <cell r="L31">
            <v>2022563.2653549237</v>
          </cell>
        </row>
        <row r="32">
          <cell r="I32">
            <v>1935710.2809305624</v>
          </cell>
          <cell r="L32">
            <v>2005394.285219325</v>
          </cell>
        </row>
        <row r="33">
          <cell r="I33">
            <v>7412.8095739276614</v>
          </cell>
          <cell r="L33">
            <v>17168.980135598686</v>
          </cell>
        </row>
        <row r="43">
          <cell r="G43">
            <v>1939235.5145389787</v>
          </cell>
          <cell r="H43">
            <v>0</v>
          </cell>
          <cell r="I43">
            <v>1939235.5145389787</v>
          </cell>
          <cell r="J43">
            <v>2009079.1422848853</v>
          </cell>
          <cell r="K43">
            <v>0</v>
          </cell>
          <cell r="L43">
            <v>2009079.1422848853</v>
          </cell>
        </row>
      </sheetData>
      <sheetData sheetId="7"/>
      <sheetData sheetId="8">
        <row r="26">
          <cell r="G26">
            <v>219.03968830128582</v>
          </cell>
        </row>
        <row r="170">
          <cell r="G170">
            <v>637.53059254466041</v>
          </cell>
        </row>
      </sheetData>
      <sheetData sheetId="9">
        <row r="170">
          <cell r="G170">
            <v>615.03735987554114</v>
          </cell>
        </row>
      </sheetData>
      <sheetData sheetId="10">
        <row r="170">
          <cell r="G170">
            <v>595.08042443559748</v>
          </cell>
        </row>
      </sheetData>
      <sheetData sheetId="11"/>
      <sheetData sheetId="12"/>
      <sheetData sheetId="13">
        <row r="24">
          <cell r="L24">
            <v>218.1</v>
          </cell>
          <cell r="M24">
            <v>219.03968830128582</v>
          </cell>
        </row>
        <row r="28">
          <cell r="L28">
            <v>152.30000000000001</v>
          </cell>
          <cell r="M28">
            <v>152.82266659789562</v>
          </cell>
        </row>
      </sheetData>
      <sheetData sheetId="14">
        <row r="19">
          <cell r="G19">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AllSheetsInThisWorkbook"/>
      <sheetName val="TEHSHEET"/>
      <sheetName val="et_union"/>
      <sheetName val="modProv"/>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List00"/>
      <sheetName val="modList01"/>
      <sheetName val="REESTR_STATION"/>
      <sheetName val="REESTR_GTP"/>
      <sheetName val="Фортум_Няганская ГРЭС БЛ-3 ДПМ_"/>
    </sheetNames>
    <sheetDataSet>
      <sheetData sheetId="0"/>
      <sheetData sheetId="1"/>
      <sheetData sheetId="2"/>
      <sheetData sheetId="3"/>
      <sheetData sheetId="4">
        <row r="11">
          <cell r="J11">
            <v>454.7</v>
          </cell>
        </row>
      </sheetData>
      <sheetData sheetId="5"/>
      <sheetData sheetId="6"/>
      <sheetData sheetId="7"/>
      <sheetData sheetId="8"/>
      <sheetData sheetId="9"/>
      <sheetData sheetId="10"/>
      <sheetData sheetId="11"/>
      <sheetData sheetId="12"/>
      <sheetData sheetId="13"/>
      <sheetData sheetId="14"/>
      <sheetData sheetId="15">
        <row r="11">
          <cell r="J11">
            <v>454.7</v>
          </cell>
        </row>
      </sheetData>
      <sheetData sheetId="16"/>
      <sheetData sheetId="17"/>
      <sheetData sheetId="18"/>
      <sheetData sheetId="19"/>
      <sheetData sheetId="20">
        <row r="11">
          <cell r="H11">
            <v>444.6666666666668</v>
          </cell>
        </row>
        <row r="12">
          <cell r="H12">
            <v>439.66703790322589</v>
          </cell>
        </row>
        <row r="14">
          <cell r="H14">
            <v>6.9797518770979119</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19_Фортум_Няганская ГРЭС БЛ3_"/>
    </sheetNames>
    <sheetDataSet>
      <sheetData sheetId="0"/>
      <sheetData sheetId="1"/>
      <sheetData sheetId="2"/>
      <sheetData sheetId="3"/>
      <sheetData sheetId="4">
        <row r="9">
          <cell r="K9">
            <v>104.5</v>
          </cell>
        </row>
      </sheetData>
      <sheetData sheetId="5"/>
      <sheetData sheetId="6">
        <row r="11">
          <cell r="I11">
            <v>424.60000000000008</v>
          </cell>
          <cell r="L11">
            <v>454.69999999999987</v>
          </cell>
        </row>
        <row r="12">
          <cell r="I12">
            <v>414.48004998515466</v>
          </cell>
          <cell r="L12">
            <v>445.15347295199052</v>
          </cell>
        </row>
        <row r="13">
          <cell r="I13">
            <v>3056.2483999999999</v>
          </cell>
          <cell r="L13">
            <v>3056.2483999999999</v>
          </cell>
        </row>
        <row r="15">
          <cell r="I15">
            <v>2991.4717000000001</v>
          </cell>
          <cell r="L15">
            <v>2996.5392770783515</v>
          </cell>
        </row>
        <row r="16">
          <cell r="I16">
            <v>15.618</v>
          </cell>
          <cell r="L16">
            <v>39.663000000000004</v>
          </cell>
        </row>
        <row r="17">
          <cell r="I17">
            <v>0</v>
          </cell>
          <cell r="L17">
            <v>0</v>
          </cell>
        </row>
        <row r="20">
          <cell r="G20">
            <v>576.25590310146526</v>
          </cell>
          <cell r="L20">
            <v>594.56344268911198</v>
          </cell>
        </row>
        <row r="31">
          <cell r="I31">
            <v>1726762.5103359211</v>
          </cell>
          <cell r="L31">
            <v>1794601.7756484053</v>
          </cell>
        </row>
        <row r="32">
          <cell r="I32">
            <v>1720502.5384642396</v>
          </cell>
          <cell r="L32">
            <v>1778122.4277794103</v>
          </cell>
        </row>
        <row r="33">
          <cell r="I33">
            <v>6259.9718716815114</v>
          </cell>
          <cell r="L33">
            <v>16479.347868995043</v>
          </cell>
        </row>
        <row r="43">
          <cell r="G43">
            <v>1723853.2260859755</v>
          </cell>
          <cell r="H43">
            <v>0</v>
          </cell>
          <cell r="I43">
            <v>1723853.2260859755</v>
          </cell>
          <cell r="J43">
            <v>1781632.7087328474</v>
          </cell>
          <cell r="K43">
            <v>0</v>
          </cell>
          <cell r="L43">
            <v>1781632.7087328474</v>
          </cell>
        </row>
      </sheetData>
      <sheetData sheetId="7"/>
      <sheetData sheetId="8">
        <row r="26">
          <cell r="G26">
            <v>217.85375809064715</v>
          </cell>
        </row>
        <row r="170">
          <cell r="G170">
            <v>593.39199768911192</v>
          </cell>
        </row>
      </sheetData>
      <sheetData sheetId="9">
        <row r="170">
          <cell r="G170">
            <v>575.13582310146523</v>
          </cell>
        </row>
      </sheetData>
      <sheetData sheetId="10">
        <row r="170">
          <cell r="G170">
            <v>556.50035795972633</v>
          </cell>
        </row>
      </sheetData>
      <sheetData sheetId="11"/>
      <sheetData sheetId="12"/>
      <sheetData sheetId="13">
        <row r="24">
          <cell r="L24">
            <v>218.1</v>
          </cell>
          <cell r="M24">
            <v>217.85375809064715</v>
          </cell>
        </row>
        <row r="28">
          <cell r="L28">
            <v>152.30000000000001</v>
          </cell>
          <cell r="M28">
            <v>153.1573882459723</v>
          </cell>
        </row>
      </sheetData>
      <sheetData sheetId="14">
        <row r="19">
          <cell r="G19">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ТЭЦ-1"/>
      <sheetName val="ТТЭЦ-1 ДМ"/>
      <sheetName val="ТТЭЦ-1 НМ"/>
      <sheetName val="ТТЭЦ-2"/>
      <sheetName val="Тюмень"/>
      <sheetName val="НГРЭС"/>
      <sheetName val="НГРЭС Б1"/>
      <sheetName val="НГРЭС Б2"/>
      <sheetName val="НГРЭС Б3"/>
      <sheetName val="ЗСР"/>
      <sheetName val="ЧТЭЦ-1"/>
      <sheetName val="ЧТЭЦ-1 ДМ"/>
      <sheetName val="ЧТЭЦ-1 НМ"/>
      <sheetName val="ЧТЭЦ-2"/>
      <sheetName val="ЧТЭЦ-3"/>
      <sheetName val="ЧТЭЦ-3 ДМ"/>
      <sheetName val="ЧТЭЦ-3 НМ"/>
      <sheetName val="ЧГРЭС"/>
      <sheetName val="ЧГРЭС ДМ"/>
      <sheetName val="ЧГРЭС Б1"/>
      <sheetName val="ЧГРЭС Б2"/>
      <sheetName val="ЧГРЭС Б3"/>
      <sheetName val="Челябинск"/>
      <sheetName val="АТЭЦ"/>
      <sheetName val="ЧО"/>
      <sheetName val="Фортум"/>
      <sheetName val="Свод на ЭЭ"/>
      <sheetName val="Лист1"/>
    </sheetNames>
    <sheetDataSet>
      <sheetData sheetId="0">
        <row r="11">
          <cell r="E11">
            <v>133.227</v>
          </cell>
        </row>
      </sheetData>
      <sheetData sheetId="1">
        <row r="7">
          <cell r="E7">
            <v>2164.1330000000003</v>
          </cell>
        </row>
        <row r="22">
          <cell r="E22">
            <v>1966.7413190000004</v>
          </cell>
          <cell r="F22">
            <v>244.83246100000002</v>
          </cell>
          <cell r="G22">
            <v>232.95174000000003</v>
          </cell>
          <cell r="H22">
            <v>179.004017</v>
          </cell>
          <cell r="J22">
            <v>173.99390399999999</v>
          </cell>
          <cell r="K22">
            <v>103.34177</v>
          </cell>
          <cell r="L22">
            <v>113.143085</v>
          </cell>
          <cell r="N22">
            <v>125.92187900000002</v>
          </cell>
          <cell r="O22">
            <v>126.02390800000001</v>
          </cell>
          <cell r="P22">
            <v>137.0763</v>
          </cell>
          <cell r="R22">
            <v>151.60034899999999</v>
          </cell>
          <cell r="S22">
            <v>156.36531499999995</v>
          </cell>
          <cell r="T22">
            <v>222.486591</v>
          </cell>
        </row>
        <row r="23">
          <cell r="E23">
            <v>2223.6010000000001</v>
          </cell>
        </row>
        <row r="26">
          <cell r="E26">
            <v>2216.7926340000004</v>
          </cell>
        </row>
        <row r="31">
          <cell r="E31">
            <v>252.02741827420095</v>
          </cell>
        </row>
        <row r="36">
          <cell r="E36">
            <v>149.6972703286246</v>
          </cell>
        </row>
        <row r="235">
          <cell r="E235">
            <v>2344594.9593499997</v>
          </cell>
        </row>
        <row r="255">
          <cell r="E255">
            <v>1405892.8130600001</v>
          </cell>
          <cell r="F255">
            <v>160035.54940000002</v>
          </cell>
          <cell r="G255">
            <v>151605.38361000002</v>
          </cell>
          <cell r="H255">
            <v>120112.57872</v>
          </cell>
          <cell r="J255">
            <v>123531.06949000001</v>
          </cell>
          <cell r="K255">
            <v>79013.948639999988</v>
          </cell>
          <cell r="L255">
            <v>91905.626400000008</v>
          </cell>
          <cell r="N255">
            <v>103018.65200999999</v>
          </cell>
          <cell r="O255">
            <v>105957.95613999999</v>
          </cell>
          <cell r="P255">
            <v>102130.37213999999</v>
          </cell>
          <cell r="R255">
            <v>101103.61749999999</v>
          </cell>
          <cell r="S255">
            <v>110811.65367999999</v>
          </cell>
          <cell r="T255">
            <v>156666.40532999998</v>
          </cell>
        </row>
      </sheetData>
      <sheetData sheetId="2">
        <row r="7">
          <cell r="E7">
            <v>1370.3389999999997</v>
          </cell>
        </row>
        <row r="22">
          <cell r="E22">
            <v>1282.0366979999997</v>
          </cell>
          <cell r="F22">
            <v>139.858069</v>
          </cell>
          <cell r="G22">
            <v>98.023331000000013</v>
          </cell>
          <cell r="H22">
            <v>136.071245</v>
          </cell>
          <cell r="J22">
            <v>130.86725199999998</v>
          </cell>
          <cell r="K22">
            <v>130.64946699999999</v>
          </cell>
          <cell r="L22">
            <v>113.00899</v>
          </cell>
          <cell r="N22">
            <v>121.41796600000001</v>
          </cell>
          <cell r="O22">
            <v>114.670798</v>
          </cell>
          <cell r="P22">
            <v>1.518338</v>
          </cell>
          <cell r="R22">
            <v>66.949110000000005</v>
          </cell>
          <cell r="S22">
            <v>108.582043</v>
          </cell>
          <cell r="T22">
            <v>120.420089</v>
          </cell>
        </row>
        <row r="23">
          <cell r="E23">
            <v>848.79000000000008</v>
          </cell>
        </row>
        <row r="26">
          <cell r="E26">
            <v>848.79000000000008</v>
          </cell>
        </row>
        <row r="31">
          <cell r="E31">
            <v>252.86007968473916</v>
          </cell>
        </row>
        <row r="36">
          <cell r="E36">
            <v>119.18260111452773</v>
          </cell>
        </row>
        <row r="235">
          <cell r="E235">
            <v>1201089.20303</v>
          </cell>
        </row>
        <row r="255">
          <cell r="E255">
            <v>916851.35759999987</v>
          </cell>
          <cell r="F255">
            <v>85476.68651</v>
          </cell>
          <cell r="G255">
            <v>61529.122340000002</v>
          </cell>
          <cell r="H255">
            <v>86795.297009999995</v>
          </cell>
          <cell r="J255">
            <v>91347.774839999998</v>
          </cell>
          <cell r="K255">
            <v>99662.285310000007</v>
          </cell>
          <cell r="L255">
            <v>90875.501319999996</v>
          </cell>
          <cell r="N255">
            <v>99763.123869999996</v>
          </cell>
          <cell r="O255">
            <v>95217.727190000005</v>
          </cell>
          <cell r="P255">
            <v>1723.70766</v>
          </cell>
          <cell r="R255">
            <v>50427.612279999994</v>
          </cell>
          <cell r="S255">
            <v>72855.977150000006</v>
          </cell>
          <cell r="T255">
            <v>81176.542119999998</v>
          </cell>
        </row>
      </sheetData>
      <sheetData sheetId="3">
        <row r="7">
          <cell r="E7">
            <v>4176.6779999999999</v>
          </cell>
        </row>
        <row r="22">
          <cell r="E22">
            <v>3784.5777640000001</v>
          </cell>
          <cell r="F22">
            <v>368.54648500000002</v>
          </cell>
          <cell r="G22">
            <v>323.23607500000003</v>
          </cell>
          <cell r="H22">
            <v>358.301602</v>
          </cell>
          <cell r="J22">
            <v>254.10622100000003</v>
          </cell>
          <cell r="K22">
            <v>290.00502399999993</v>
          </cell>
          <cell r="L22">
            <v>276.75428800000003</v>
          </cell>
          <cell r="N22">
            <v>224.243809</v>
          </cell>
          <cell r="O22">
            <v>221.35378000000003</v>
          </cell>
          <cell r="P22">
            <v>394.29285599999997</v>
          </cell>
          <cell r="R22">
            <v>404.27716699999996</v>
          </cell>
          <cell r="S22">
            <v>295.37914300000006</v>
          </cell>
          <cell r="T22">
            <v>374.08131399999996</v>
          </cell>
        </row>
        <row r="23">
          <cell r="E23">
            <v>2915.7759999999998</v>
          </cell>
        </row>
        <row r="26">
          <cell r="E26">
            <v>2904.0595679999997</v>
          </cell>
        </row>
        <row r="31">
          <cell r="E31">
            <v>260.10226509219206</v>
          </cell>
        </row>
        <row r="36">
          <cell r="E36">
            <v>165.69757073245682</v>
          </cell>
        </row>
        <row r="235">
          <cell r="E235">
            <v>4168169.7080399995</v>
          </cell>
        </row>
        <row r="254">
          <cell r="E254">
            <v>1362368.7774100003</v>
          </cell>
        </row>
        <row r="255">
          <cell r="E255">
            <v>2805800.9306299994</v>
          </cell>
          <cell r="F255">
            <v>222229.09898000001</v>
          </cell>
          <cell r="G255">
            <v>201700.74876000002</v>
          </cell>
          <cell r="H255">
            <v>251905.95590999999</v>
          </cell>
          <cell r="J255">
            <v>167085.90746000002</v>
          </cell>
          <cell r="K255">
            <v>225393.75827999998</v>
          </cell>
          <cell r="L255">
            <v>246333.76705999998</v>
          </cell>
          <cell r="N255">
            <v>213836.05489</v>
          </cell>
          <cell r="O255">
            <v>206738.30761000002</v>
          </cell>
          <cell r="P255">
            <v>351031.75011999998</v>
          </cell>
          <cell r="R255">
            <v>301503.18252999999</v>
          </cell>
          <cell r="S255">
            <v>188576.71339999998</v>
          </cell>
          <cell r="T255">
            <v>229465.68562999999</v>
          </cell>
        </row>
      </sheetData>
      <sheetData sheetId="4"/>
      <sheetData sheetId="5">
        <row r="11">
          <cell r="E11">
            <v>137.30000000000001</v>
          </cell>
        </row>
      </sheetData>
      <sheetData sheetId="6">
        <row r="7">
          <cell r="E7">
            <v>3012.8850000000007</v>
          </cell>
        </row>
        <row r="22">
          <cell r="E22">
            <v>2955.463337000001</v>
          </cell>
          <cell r="F22">
            <v>323.63079499999998</v>
          </cell>
          <cell r="G22">
            <v>208.83175199999999</v>
          </cell>
          <cell r="H22">
            <v>266.319817</v>
          </cell>
          <cell r="J22">
            <v>250.80870600000003</v>
          </cell>
          <cell r="K22">
            <v>236.578822</v>
          </cell>
          <cell r="L22">
            <v>258.18158500000004</v>
          </cell>
          <cell r="N22">
            <v>253.14398700000001</v>
          </cell>
          <cell r="O22">
            <v>260.39242899999999</v>
          </cell>
          <cell r="P22">
            <v>287.39133299999997</v>
          </cell>
          <cell r="R22">
            <v>180.47273299999998</v>
          </cell>
          <cell r="S22">
            <v>210.18253900000002</v>
          </cell>
          <cell r="T22">
            <v>219.52883900000003</v>
          </cell>
        </row>
        <row r="23">
          <cell r="E23">
            <v>37.174000000000007</v>
          </cell>
        </row>
        <row r="26">
          <cell r="E26">
            <v>0</v>
          </cell>
        </row>
        <row r="31">
          <cell r="E31">
            <v>212.71634362764769</v>
          </cell>
        </row>
        <row r="36">
          <cell r="E36">
            <v>150.3739172539947</v>
          </cell>
        </row>
        <row r="235">
          <cell r="E235">
            <v>1466234.62678</v>
          </cell>
        </row>
        <row r="255">
          <cell r="E255">
            <v>1466234.62678</v>
          </cell>
          <cell r="F255">
            <v>160378.92929</v>
          </cell>
          <cell r="G255">
            <v>106601.04932999999</v>
          </cell>
          <cell r="H255">
            <v>125100.82386999999</v>
          </cell>
          <cell r="J255">
            <v>115241.06828000001</v>
          </cell>
          <cell r="K255">
            <v>114982.13297999999</v>
          </cell>
          <cell r="L255">
            <v>123355.33193</v>
          </cell>
          <cell r="N255">
            <v>126896.96507000001</v>
          </cell>
          <cell r="O255">
            <v>130382.35536</v>
          </cell>
          <cell r="P255">
            <v>144688.18208999999</v>
          </cell>
          <cell r="R255">
            <v>95214.857099999994</v>
          </cell>
          <cell r="S255">
            <v>108484.092</v>
          </cell>
          <cell r="T255">
            <v>114908.83948</v>
          </cell>
        </row>
      </sheetData>
      <sheetData sheetId="7">
        <row r="7">
          <cell r="E7">
            <v>3010.0070000000001</v>
          </cell>
        </row>
        <row r="22">
          <cell r="E22">
            <v>2948.758519</v>
          </cell>
          <cell r="F22">
            <v>316.60840100000001</v>
          </cell>
          <cell r="G22">
            <v>237.734949</v>
          </cell>
          <cell r="H22">
            <v>290.46779399999997</v>
          </cell>
          <cell r="J22">
            <v>287.53306099999998</v>
          </cell>
          <cell r="K22">
            <v>221.76857200000001</v>
          </cell>
          <cell r="L22">
            <v>257.41551099999998</v>
          </cell>
          <cell r="N22">
            <v>257.52574100000004</v>
          </cell>
          <cell r="O22">
            <v>258.46158699999989</v>
          </cell>
          <cell r="P22">
            <v>236.76305500000001</v>
          </cell>
          <cell r="R22">
            <v>123.59021499999999</v>
          </cell>
          <cell r="S22">
            <v>201.326998</v>
          </cell>
          <cell r="T22">
            <v>259.56263499999994</v>
          </cell>
        </row>
        <row r="23">
          <cell r="E23">
            <v>38.775999999999996</v>
          </cell>
        </row>
        <row r="26">
          <cell r="E26">
            <v>0</v>
          </cell>
        </row>
        <row r="31">
          <cell r="E31">
            <v>212.91389443382326</v>
          </cell>
        </row>
        <row r="36">
          <cell r="E36">
            <v>150.37652155972768</v>
          </cell>
        </row>
        <row r="235">
          <cell r="E235">
            <v>1464489.0136599999</v>
          </cell>
        </row>
        <row r="255">
          <cell r="E255">
            <v>1464489.0136600002</v>
          </cell>
          <cell r="F255">
            <v>156819.36124999999</v>
          </cell>
          <cell r="G255">
            <v>117522.09483</v>
          </cell>
          <cell r="H255">
            <v>141430.44617000001</v>
          </cell>
          <cell r="J255">
            <v>138453.06667</v>
          </cell>
          <cell r="K255">
            <v>107878.34024</v>
          </cell>
          <cell r="L255">
            <v>122523.24641000001</v>
          </cell>
          <cell r="N255">
            <v>128621.90721</v>
          </cell>
          <cell r="O255">
            <v>128473.35585000001</v>
          </cell>
          <cell r="P255">
            <v>116431.75171</v>
          </cell>
          <cell r="R255">
            <v>66608.886119999996</v>
          </cell>
          <cell r="S255">
            <v>104695.76839</v>
          </cell>
          <cell r="T255">
            <v>135030.78881</v>
          </cell>
        </row>
      </sheetData>
      <sheetData sheetId="8">
        <row r="7">
          <cell r="E7">
            <v>3137.018</v>
          </cell>
        </row>
        <row r="22">
          <cell r="E22">
            <v>3078.387909</v>
          </cell>
          <cell r="F22">
            <v>278.23203100000001</v>
          </cell>
          <cell r="G22">
            <v>-0.52020599999999995</v>
          </cell>
          <cell r="H22">
            <v>167.83750499999999</v>
          </cell>
          <cell r="J22">
            <v>258.39523700000001</v>
          </cell>
          <cell r="K22">
            <v>315.540888</v>
          </cell>
          <cell r="L22">
            <v>254.29063999999997</v>
          </cell>
          <cell r="N22">
            <v>295.117074</v>
          </cell>
          <cell r="O22">
            <v>271.897537</v>
          </cell>
          <cell r="P22">
            <v>318.05898600000006</v>
          </cell>
          <cell r="R22">
            <v>286.48419399999995</v>
          </cell>
          <cell r="S22">
            <v>311.99836899999997</v>
          </cell>
          <cell r="T22">
            <v>321.05565400000006</v>
          </cell>
        </row>
        <row r="23">
          <cell r="E23">
            <v>34.079000000000001</v>
          </cell>
        </row>
        <row r="26">
          <cell r="E26">
            <v>0</v>
          </cell>
        </row>
        <row r="31">
          <cell r="E31">
            <v>213.33727221339066</v>
          </cell>
        </row>
        <row r="36">
          <cell r="E36">
            <v>150.38586812993339</v>
          </cell>
        </row>
        <row r="235">
          <cell r="E235">
            <v>1535706.4835199998</v>
          </cell>
        </row>
        <row r="255">
          <cell r="E255">
            <v>1535706.48352</v>
          </cell>
          <cell r="F255">
            <v>147159.41964000001</v>
          </cell>
          <cell r="G255">
            <v>1575.8824500000001</v>
          </cell>
          <cell r="H255">
            <v>86236.091579999993</v>
          </cell>
          <cell r="J255">
            <v>128495.94018000001</v>
          </cell>
          <cell r="K255">
            <v>151206.52458</v>
          </cell>
          <cell r="L255">
            <v>121637.92547</v>
          </cell>
          <cell r="N255">
            <v>144998.71971999999</v>
          </cell>
          <cell r="O255">
            <v>133645.44146</v>
          </cell>
          <cell r="P255">
            <v>157414.34813</v>
          </cell>
          <cell r="R255">
            <v>144058.32363999999</v>
          </cell>
          <cell r="S255">
            <v>154289.29736</v>
          </cell>
          <cell r="T255">
            <v>164988.56930999999</v>
          </cell>
        </row>
      </sheetData>
      <sheetData sheetId="9"/>
      <sheetData sheetId="10">
        <row r="11">
          <cell r="E11">
            <v>25.766000000000002</v>
          </cell>
        </row>
      </sheetData>
      <sheetData sheetId="11">
        <row r="8">
          <cell r="E8">
            <v>232.86999999999998</v>
          </cell>
        </row>
        <row r="22">
          <cell r="F22">
            <v>30.648527000000001</v>
          </cell>
          <cell r="G22">
            <v>26.053826000000001</v>
          </cell>
          <cell r="H22">
            <v>30.374358000000001</v>
          </cell>
          <cell r="J22">
            <v>22.100548999999997</v>
          </cell>
          <cell r="K22">
            <v>10.574999999999999</v>
          </cell>
          <cell r="L22">
            <v>7.6929999999999996</v>
          </cell>
          <cell r="N22">
            <v>6.7729999999999997</v>
          </cell>
          <cell r="O22">
            <v>10.509</v>
          </cell>
          <cell r="P22">
            <v>9.3973690000000012</v>
          </cell>
          <cell r="R22">
            <v>16.229234999999999</v>
          </cell>
          <cell r="S22">
            <v>14.802224000000001</v>
          </cell>
          <cell r="T22">
            <v>15.063569999999999</v>
          </cell>
        </row>
        <row r="31">
          <cell r="E31">
            <v>195.9572385011719</v>
          </cell>
        </row>
        <row r="36">
          <cell r="E36">
            <v>177.76042444217322</v>
          </cell>
        </row>
        <row r="235">
          <cell r="E235">
            <v>402501.04243999999</v>
          </cell>
        </row>
        <row r="254">
          <cell r="E254">
            <v>265801.39869000006</v>
          </cell>
        </row>
        <row r="255">
          <cell r="E255">
            <v>136699.64374999996</v>
          </cell>
          <cell r="F255">
            <v>18924.763769999998</v>
          </cell>
          <cell r="G255">
            <v>16082.566630000001</v>
          </cell>
          <cell r="H255">
            <v>18304.615830000002</v>
          </cell>
          <cell r="J255">
            <v>13516.04371</v>
          </cell>
          <cell r="K255">
            <v>8346.79162</v>
          </cell>
          <cell r="L255">
            <v>6180.3216900000007</v>
          </cell>
          <cell r="N255">
            <v>5847.5648099999999</v>
          </cell>
          <cell r="O255">
            <v>8772.4255200000007</v>
          </cell>
          <cell r="P255">
            <v>7308.6825399999998</v>
          </cell>
          <cell r="R255">
            <v>10998.50837</v>
          </cell>
          <cell r="S255">
            <v>10651.183550000002</v>
          </cell>
          <cell r="T255">
            <v>11766.175710000001</v>
          </cell>
        </row>
      </sheetData>
      <sheetData sheetId="12">
        <row r="8">
          <cell r="E8">
            <v>650.14200000000005</v>
          </cell>
        </row>
        <row r="22">
          <cell r="F22">
            <v>55.494</v>
          </cell>
          <cell r="G22">
            <v>50.301000000000002</v>
          </cell>
          <cell r="H22">
            <v>58.054000000000002</v>
          </cell>
          <cell r="J22">
            <v>55.082000000000001</v>
          </cell>
          <cell r="K22">
            <v>52.605508</v>
          </cell>
          <cell r="L22">
            <v>38.301599000000003</v>
          </cell>
          <cell r="N22">
            <v>30.028305</v>
          </cell>
          <cell r="O22">
            <v>48.674476000000006</v>
          </cell>
          <cell r="P22">
            <v>42.946793999999997</v>
          </cell>
          <cell r="R22">
            <v>57.114683999999997</v>
          </cell>
          <cell r="S22">
            <v>48.527000000000008</v>
          </cell>
          <cell r="T22">
            <v>60.602000000000004</v>
          </cell>
        </row>
        <row r="31">
          <cell r="E31">
            <v>239.63282847248303</v>
          </cell>
        </row>
        <row r="36">
          <cell r="E36">
            <v>119.53216964701618</v>
          </cell>
        </row>
        <row r="235">
          <cell r="E235">
            <v>857020.91985999991</v>
          </cell>
        </row>
        <row r="254">
          <cell r="E254">
            <v>360563.66196999996</v>
          </cell>
        </row>
        <row r="255">
          <cell r="E255">
            <v>496457.25789000007</v>
          </cell>
          <cell r="F255">
            <v>45524.805849999997</v>
          </cell>
          <cell r="G255">
            <v>41147.62038</v>
          </cell>
          <cell r="H255">
            <v>47692.06781</v>
          </cell>
          <cell r="J255">
            <v>44646.350930000001</v>
          </cell>
          <cell r="K255">
            <v>42818.221890000001</v>
          </cell>
          <cell r="L255">
            <v>30983.758529999999</v>
          </cell>
          <cell r="N255">
            <v>26138.36147</v>
          </cell>
          <cell r="O255">
            <v>40854.150509999999</v>
          </cell>
          <cell r="P255">
            <v>36764.909450000006</v>
          </cell>
          <cell r="R255">
            <v>47741.148700000005</v>
          </cell>
          <cell r="S255">
            <v>40679.156510000001</v>
          </cell>
          <cell r="T255">
            <v>51466.705860000002</v>
          </cell>
        </row>
      </sheetData>
      <sheetData sheetId="13">
        <row r="7">
          <cell r="E7">
            <v>1679.18</v>
          </cell>
        </row>
        <row r="22">
          <cell r="E22">
            <v>1455.2745960000002</v>
          </cell>
          <cell r="F22">
            <v>161.01612700000001</v>
          </cell>
          <cell r="G22">
            <v>141.144317</v>
          </cell>
          <cell r="H22">
            <v>118.28671799999999</v>
          </cell>
          <cell r="J22">
            <v>131.68998999999999</v>
          </cell>
          <cell r="K22">
            <v>119.06486600000002</v>
          </cell>
          <cell r="L22">
            <v>118.317832</v>
          </cell>
          <cell r="N22">
            <v>101.96522100000001</v>
          </cell>
          <cell r="O22">
            <v>89.698481999999998</v>
          </cell>
          <cell r="P22">
            <v>53.435331999999988</v>
          </cell>
          <cell r="R22">
            <v>110.09569700000002</v>
          </cell>
          <cell r="S22">
            <v>135.34335300000001</v>
          </cell>
          <cell r="T22">
            <v>175.21666099999999</v>
          </cell>
        </row>
        <row r="23">
          <cell r="E23">
            <v>2148.7290000000003</v>
          </cell>
        </row>
        <row r="26">
          <cell r="E26">
            <v>2138.1362000000004</v>
          </cell>
        </row>
        <row r="31">
          <cell r="E31">
            <v>278.16446004845261</v>
          </cell>
        </row>
        <row r="36">
          <cell r="E36">
            <v>172.79284637569461</v>
          </cell>
        </row>
        <row r="235">
          <cell r="E235">
            <v>2029655.6237900001</v>
          </cell>
        </row>
        <row r="254">
          <cell r="E254">
            <v>1003796.7838799999</v>
          </cell>
        </row>
        <row r="255">
          <cell r="E255">
            <v>1025858.83991</v>
          </cell>
          <cell r="F255">
            <v>98020.18882000001</v>
          </cell>
          <cell r="G255">
            <v>89602.43952</v>
          </cell>
          <cell r="H255">
            <v>60306.717839999998</v>
          </cell>
          <cell r="J255">
            <v>104292.48672</v>
          </cell>
          <cell r="K255">
            <v>82576.797220000008</v>
          </cell>
          <cell r="L255">
            <v>82042.225659999996</v>
          </cell>
          <cell r="N255">
            <v>98562.369269999996</v>
          </cell>
          <cell r="O255">
            <v>94221.911769999992</v>
          </cell>
          <cell r="P255">
            <v>52728.020349999999</v>
          </cell>
          <cell r="R255">
            <v>64181.342910000007</v>
          </cell>
          <cell r="S255">
            <v>79586.60673</v>
          </cell>
          <cell r="T255">
            <v>119737.7331</v>
          </cell>
        </row>
      </sheetData>
      <sheetData sheetId="14">
        <row r="11">
          <cell r="E11">
            <v>113.893</v>
          </cell>
        </row>
      </sheetData>
      <sheetData sheetId="15">
        <row r="7">
          <cell r="E7">
            <v>2227.9739999999997</v>
          </cell>
        </row>
        <row r="22">
          <cell r="E22">
            <v>2006.3636359999996</v>
          </cell>
          <cell r="F22">
            <v>229.769372</v>
          </cell>
          <cell r="G22">
            <v>177.51708100000002</v>
          </cell>
          <cell r="H22">
            <v>176.44332399999999</v>
          </cell>
          <cell r="J22">
            <v>216.66050999999999</v>
          </cell>
          <cell r="K22">
            <v>81.439120000000003</v>
          </cell>
          <cell r="L22">
            <v>105.93695500000001</v>
          </cell>
          <cell r="N22">
            <v>108.456822</v>
          </cell>
          <cell r="O22">
            <v>113.51490199999999</v>
          </cell>
          <cell r="P22">
            <v>117.936959</v>
          </cell>
          <cell r="R22">
            <v>222.00629700000002</v>
          </cell>
          <cell r="S22">
            <v>225.25412899999998</v>
          </cell>
          <cell r="T22">
            <v>231.42816499999998</v>
          </cell>
        </row>
        <row r="23">
          <cell r="E23">
            <v>2429.748</v>
          </cell>
        </row>
        <row r="26">
          <cell r="E26">
            <v>2411.7598480000001</v>
          </cell>
        </row>
        <row r="31">
          <cell r="E31">
            <v>211.50434093784892</v>
          </cell>
        </row>
        <row r="36">
          <cell r="E36">
            <v>164.28082253797513</v>
          </cell>
        </row>
        <row r="235">
          <cell r="E235">
            <v>2838912.0084199994</v>
          </cell>
        </row>
        <row r="255">
          <cell r="E255">
            <v>1467067.1662000001</v>
          </cell>
          <cell r="F255">
            <v>146201.17058000001</v>
          </cell>
          <cell r="G255">
            <v>122432.66061000001</v>
          </cell>
          <cell r="H255">
            <v>117198.42547</v>
          </cell>
          <cell r="J255">
            <v>153614.07835999998</v>
          </cell>
          <cell r="K255">
            <v>71608.112869999997</v>
          </cell>
          <cell r="L255">
            <v>88076.019350000002</v>
          </cell>
          <cell r="N255">
            <v>100394.15567000001</v>
          </cell>
          <cell r="O255">
            <v>97722.47782</v>
          </cell>
          <cell r="P255">
            <v>94041.166330000007</v>
          </cell>
          <cell r="R255">
            <v>158410.70267</v>
          </cell>
          <cell r="S255">
            <v>157705.65969</v>
          </cell>
          <cell r="T255">
            <v>159662.53677999999</v>
          </cell>
        </row>
      </sheetData>
      <sheetData sheetId="16">
        <row r="7">
          <cell r="E7">
            <v>1494.9770000000003</v>
          </cell>
        </row>
        <row r="22">
          <cell r="E22">
            <v>1450.1465290000003</v>
          </cell>
          <cell r="F22">
            <v>140.417248</v>
          </cell>
          <cell r="G22">
            <v>127.446853</v>
          </cell>
          <cell r="H22">
            <v>131.552155</v>
          </cell>
          <cell r="J22">
            <v>72.659872000000007</v>
          </cell>
          <cell r="K22">
            <v>58.077821999999998</v>
          </cell>
          <cell r="L22">
            <v>125.79440699999999</v>
          </cell>
          <cell r="N22">
            <v>128.75035800000001</v>
          </cell>
          <cell r="O22">
            <v>139.11665100000002</v>
          </cell>
          <cell r="P22">
            <v>96.485196000000002</v>
          </cell>
          <cell r="R22">
            <v>152.27076200000002</v>
          </cell>
          <cell r="S22">
            <v>138.80141900000001</v>
          </cell>
          <cell r="T22">
            <v>138.773786</v>
          </cell>
        </row>
        <row r="23">
          <cell r="E23">
            <v>272.57100000000003</v>
          </cell>
        </row>
        <row r="26">
          <cell r="E26">
            <v>272.57100000000003</v>
          </cell>
        </row>
        <row r="31">
          <cell r="E31">
            <v>247.44184320599862</v>
          </cell>
        </row>
        <row r="36">
          <cell r="E36">
            <v>99.016403065623237</v>
          </cell>
        </row>
        <row r="235">
          <cell r="E235">
            <v>1334092.77171</v>
          </cell>
        </row>
        <row r="255">
          <cell r="E255">
            <v>1241897.06088</v>
          </cell>
          <cell r="F255">
            <v>112424.35398</v>
          </cell>
          <cell r="G255">
            <v>99621.420830000003</v>
          </cell>
          <cell r="H255">
            <v>104565.95509</v>
          </cell>
          <cell r="J255">
            <v>58323.455969999995</v>
          </cell>
          <cell r="K255">
            <v>51830.035129999997</v>
          </cell>
          <cell r="L255">
            <v>109667.72989</v>
          </cell>
          <cell r="N255">
            <v>118627.35169</v>
          </cell>
          <cell r="O255">
            <v>126114.71724</v>
          </cell>
          <cell r="P255">
            <v>88814.733939999991</v>
          </cell>
          <cell r="R255">
            <v>135031.69193999999</v>
          </cell>
          <cell r="S255">
            <v>123002.58438</v>
          </cell>
          <cell r="T255">
            <v>113873.03079999999</v>
          </cell>
        </row>
      </sheetData>
      <sheetData sheetId="17">
        <row r="11">
          <cell r="E11">
            <v>110.74299999999999</v>
          </cell>
        </row>
      </sheetData>
      <sheetData sheetId="18"/>
      <sheetData sheetId="19">
        <row r="7">
          <cell r="E7">
            <v>1667.5639999999999</v>
          </cell>
        </row>
        <row r="22">
          <cell r="E22">
            <v>1574.8952959999997</v>
          </cell>
          <cell r="F22">
            <v>157.93640799999997</v>
          </cell>
          <cell r="G22">
            <v>136.64647600000001</v>
          </cell>
          <cell r="H22">
            <v>139.68603900000002</v>
          </cell>
          <cell r="J22">
            <v>149.26498900000001</v>
          </cell>
          <cell r="K22">
            <v>129.95885000000001</v>
          </cell>
          <cell r="L22">
            <v>86.140875999999992</v>
          </cell>
          <cell r="N22">
            <v>131.31066100000001</v>
          </cell>
          <cell r="O22">
            <v>136.76814999999999</v>
          </cell>
          <cell r="P22">
            <v>131.658018</v>
          </cell>
          <cell r="R22">
            <v>83.453496000000001</v>
          </cell>
          <cell r="S22">
            <v>125.01180500000001</v>
          </cell>
          <cell r="T22">
            <v>167.059528</v>
          </cell>
        </row>
        <row r="23">
          <cell r="E23">
            <v>533.774</v>
          </cell>
        </row>
        <row r="26">
          <cell r="E26">
            <v>530.58321999999998</v>
          </cell>
        </row>
        <row r="31">
          <cell r="E31">
            <v>235.20879359904501</v>
          </cell>
        </row>
        <row r="36">
          <cell r="E36">
            <v>112.05678807884985</v>
          </cell>
        </row>
        <row r="235">
          <cell r="E235">
            <v>1462737.5623999999</v>
          </cell>
        </row>
        <row r="255">
          <cell r="E255">
            <v>1260622.7581</v>
          </cell>
          <cell r="F255">
            <v>118937.49890000001</v>
          </cell>
          <cell r="G255">
            <v>102003.97859</v>
          </cell>
          <cell r="H255">
            <v>107249.33411</v>
          </cell>
          <cell r="J255">
            <v>115917.19967</v>
          </cell>
          <cell r="K255">
            <v>110541.23346</v>
          </cell>
          <cell r="L255">
            <v>72395.229319999999</v>
          </cell>
          <cell r="N255">
            <v>113142.92866000001</v>
          </cell>
          <cell r="O255">
            <v>113850.10681</v>
          </cell>
          <cell r="P255">
            <v>112670.56764000001</v>
          </cell>
          <cell r="R255">
            <v>65520.57127</v>
          </cell>
          <cell r="S255">
            <v>98158.98878</v>
          </cell>
          <cell r="T255">
            <v>130235.12089000001</v>
          </cell>
        </row>
      </sheetData>
      <sheetData sheetId="20">
        <row r="7">
          <cell r="E7">
            <v>1600.7049999999999</v>
          </cell>
        </row>
        <row r="22">
          <cell r="E22">
            <v>1502.7777019999999</v>
          </cell>
          <cell r="F22">
            <v>159.505302</v>
          </cell>
          <cell r="G22">
            <v>117.190028</v>
          </cell>
          <cell r="H22">
            <v>97.108583999999979</v>
          </cell>
          <cell r="J22">
            <v>151.69680299999999</v>
          </cell>
          <cell r="K22">
            <v>137.669162</v>
          </cell>
          <cell r="L22">
            <v>99.805763000000013</v>
          </cell>
          <cell r="N22">
            <v>117.11604099999998</v>
          </cell>
          <cell r="O22">
            <v>109.837794</v>
          </cell>
          <cell r="P22">
            <v>119.14932399999999</v>
          </cell>
          <cell r="R22">
            <v>144.92171200000001</v>
          </cell>
          <cell r="S22">
            <v>135.57317599999999</v>
          </cell>
          <cell r="T22">
            <v>113.204013</v>
          </cell>
        </row>
        <row r="23">
          <cell r="E23">
            <v>578.43399999999997</v>
          </cell>
        </row>
        <row r="26">
          <cell r="E26">
            <v>575.02099999999996</v>
          </cell>
        </row>
        <row r="31">
          <cell r="E31">
            <v>229.43510361724285</v>
          </cell>
        </row>
        <row r="36">
          <cell r="E36">
            <v>113.43558642818367</v>
          </cell>
        </row>
        <row r="235">
          <cell r="E235">
            <v>1396049.0206099998</v>
          </cell>
        </row>
        <row r="255">
          <cell r="E255">
            <v>1174156.1782000002</v>
          </cell>
          <cell r="F255">
            <v>115690.56724999999</v>
          </cell>
          <cell r="G255">
            <v>83988.716</v>
          </cell>
          <cell r="H255">
            <v>71026.592599999989</v>
          </cell>
          <cell r="J255">
            <v>113469.35798</v>
          </cell>
          <cell r="K255">
            <v>107714.68687999999</v>
          </cell>
          <cell r="L255">
            <v>81751.85428</v>
          </cell>
          <cell r="N255">
            <v>101458.30328000001</v>
          </cell>
          <cell r="O255">
            <v>87506.110209999999</v>
          </cell>
          <cell r="P255">
            <v>97016.142309999996</v>
          </cell>
          <cell r="R255">
            <v>114897.79983999999</v>
          </cell>
          <cell r="S255">
            <v>108258.24536</v>
          </cell>
          <cell r="T255">
            <v>91377.802209999994</v>
          </cell>
        </row>
      </sheetData>
      <sheetData sheetId="21">
        <row r="7">
          <cell r="E7">
            <v>758.84299999999996</v>
          </cell>
        </row>
        <row r="22">
          <cell r="E22">
            <v>726.61124599999994</v>
          </cell>
        </row>
        <row r="23">
          <cell r="E23">
            <v>109.485</v>
          </cell>
        </row>
        <row r="26">
          <cell r="E26">
            <v>109.265</v>
          </cell>
        </row>
        <row r="31">
          <cell r="E31">
            <v>251.5639766223043</v>
          </cell>
        </row>
        <row r="36">
          <cell r="E36">
            <v>107.1927661323469</v>
          </cell>
        </row>
        <row r="235">
          <cell r="E235">
            <v>671256.22155000002</v>
          </cell>
        </row>
        <row r="255">
          <cell r="E255">
            <v>638577.55544000003</v>
          </cell>
        </row>
      </sheetData>
      <sheetData sheetId="22">
        <row r="14">
          <cell r="E14">
            <v>54.469226393843392</v>
          </cell>
        </row>
      </sheetData>
      <sheetData sheetId="23">
        <row r="7">
          <cell r="E7">
            <v>894.95299999999975</v>
          </cell>
        </row>
        <row r="22">
          <cell r="E22">
            <v>773.78845199999967</v>
          </cell>
          <cell r="F22">
            <v>88.681450999999996</v>
          </cell>
          <cell r="G22">
            <v>77.253875000000008</v>
          </cell>
          <cell r="H22">
            <v>82.775525999999999</v>
          </cell>
          <cell r="J22">
            <v>77.934588000000005</v>
          </cell>
          <cell r="K22">
            <v>61.777035999999995</v>
          </cell>
          <cell r="L22">
            <v>44.116909</v>
          </cell>
          <cell r="N22">
            <v>40.288443000000001</v>
          </cell>
          <cell r="O22">
            <v>40.446788000000005</v>
          </cell>
          <cell r="P22">
            <v>45.231042999999993</v>
          </cell>
          <cell r="R22">
            <v>61.365573000000005</v>
          </cell>
          <cell r="S22">
            <v>63.144941999999993</v>
          </cell>
          <cell r="T22">
            <v>90.772278000000014</v>
          </cell>
        </row>
        <row r="23">
          <cell r="E23">
            <v>1591.9130000000002</v>
          </cell>
        </row>
        <row r="26">
          <cell r="E26">
            <v>1588.8906000000002</v>
          </cell>
        </row>
        <row r="31">
          <cell r="E31">
            <v>360.65391245589598</v>
          </cell>
        </row>
        <row r="36">
          <cell r="E36">
            <v>173.13948689407019</v>
          </cell>
        </row>
        <row r="235">
          <cell r="E235">
            <v>1542402.1967699998</v>
          </cell>
        </row>
        <row r="254">
          <cell r="E254">
            <v>767647.73774999997</v>
          </cell>
        </row>
        <row r="255">
          <cell r="E255">
            <v>774754.45902000007</v>
          </cell>
          <cell r="F255">
            <v>79653.552750000003</v>
          </cell>
          <cell r="G255">
            <v>69299.655940000011</v>
          </cell>
          <cell r="H255">
            <v>62273.61146</v>
          </cell>
          <cell r="J255">
            <v>58176.103309999999</v>
          </cell>
          <cell r="K255">
            <v>51883.376640000002</v>
          </cell>
          <cell r="L255">
            <v>61371.662869999993</v>
          </cell>
          <cell r="N255">
            <v>64812.002759999996</v>
          </cell>
          <cell r="O255">
            <v>62143.212660000005</v>
          </cell>
          <cell r="P255">
            <v>46230.499400000001</v>
          </cell>
          <cell r="R255">
            <v>71103.248030000002</v>
          </cell>
          <cell r="S255">
            <v>68140.019650000002</v>
          </cell>
          <cell r="T255">
            <v>79667.513550000003</v>
          </cell>
        </row>
      </sheetData>
      <sheetData sheetId="24"/>
      <sheetData sheetId="25"/>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ЧТЭЦ-1"/>
      <sheetName val="ЧТЭЦ-2"/>
      <sheetName val="ЧТЭЦ-3"/>
      <sheetName val="ЧТЭЦ-4"/>
      <sheetName val="Челябинск"/>
      <sheetName val="АТЭЦ"/>
      <sheetName val="ТТЭЦ-1"/>
      <sheetName val="ТТЭЦ-2"/>
      <sheetName val="Тюмень"/>
    </sheetNames>
    <sheetDataSet>
      <sheetData sheetId="0">
        <row r="11">
          <cell r="Z11">
            <v>1341750903.3600001</v>
          </cell>
        </row>
        <row r="12">
          <cell r="E12">
            <v>2181134865.1700001</v>
          </cell>
          <cell r="J12">
            <v>193169803.25</v>
          </cell>
          <cell r="N12">
            <v>556375731.83000004</v>
          </cell>
          <cell r="R12">
            <v>248668205.12</v>
          </cell>
          <cell r="V12">
            <v>193858241.56</v>
          </cell>
          <cell r="Z12">
            <v>945560871.48000002</v>
          </cell>
          <cell r="AH12">
            <v>480847873.30999994</v>
          </cell>
          <cell r="AP12">
            <v>32229001.959999997</v>
          </cell>
          <cell r="AT12">
            <v>415991.93</v>
          </cell>
          <cell r="AX12">
            <v>10857018.039999999</v>
          </cell>
        </row>
      </sheetData>
      <sheetData sheetId="1">
        <row r="11">
          <cell r="Z11">
            <v>1862085472.5299997</v>
          </cell>
        </row>
        <row r="12">
          <cell r="E12">
            <v>3637328908.7599998</v>
          </cell>
          <cell r="J12">
            <v>1323525063.55</v>
          </cell>
          <cell r="R12">
            <v>752040814.61999989</v>
          </cell>
          <cell r="Z12">
            <v>1533495211.4899998</v>
          </cell>
          <cell r="AP12">
            <v>26572572.120000001</v>
          </cell>
          <cell r="AT12">
            <v>769417.75</v>
          </cell>
          <cell r="AX12">
            <v>925829.23</v>
          </cell>
        </row>
      </sheetData>
      <sheetData sheetId="2">
        <row r="11">
          <cell r="Z11">
            <v>2414517300.75</v>
          </cell>
        </row>
        <row r="12">
          <cell r="E12">
            <v>6447657942.04</v>
          </cell>
          <cell r="J12">
            <v>1827933826.3099999</v>
          </cell>
          <cell r="N12">
            <v>1496527943.0800002</v>
          </cell>
          <cell r="R12">
            <v>546471384.06000006</v>
          </cell>
          <cell r="V12">
            <v>610568456.54000008</v>
          </cell>
          <cell r="Z12">
            <v>1924113952.3</v>
          </cell>
          <cell r="AH12">
            <v>133301898.5</v>
          </cell>
          <cell r="AP12">
            <v>39136491.140000001</v>
          </cell>
          <cell r="AT12">
            <v>272441.79000000004</v>
          </cell>
          <cell r="AX12">
            <v>2633446.7899999996</v>
          </cell>
        </row>
      </sheetData>
      <sheetData sheetId="3">
        <row r="4">
          <cell r="N4">
            <v>0</v>
          </cell>
          <cell r="V4">
            <v>0</v>
          </cell>
          <cell r="AH4">
            <v>0</v>
          </cell>
        </row>
      </sheetData>
      <sheetData sheetId="4">
        <row r="16">
          <cell r="Z16">
            <v>1086141185.23</v>
          </cell>
        </row>
      </sheetData>
      <sheetData sheetId="5">
        <row r="11">
          <cell r="Z11">
            <v>1976233481.5700002</v>
          </cell>
        </row>
        <row r="12">
          <cell r="E12">
            <v>2713486504.2499995</v>
          </cell>
          <cell r="J12">
            <v>949744429.38</v>
          </cell>
          <cell r="R12">
            <v>519516641.97000009</v>
          </cell>
          <cell r="Z12">
            <v>1202738197.3100002</v>
          </cell>
          <cell r="AP12">
            <v>2320589.59</v>
          </cell>
          <cell r="AT12">
            <v>35834600.879999988</v>
          </cell>
          <cell r="AX12">
            <v>3332045.12</v>
          </cell>
        </row>
      </sheetData>
      <sheetData sheetId="6">
        <row r="11">
          <cell r="Z11">
            <v>2174177037.3899994</v>
          </cell>
        </row>
        <row r="12">
          <cell r="E12">
            <v>6359712128.75</v>
          </cell>
          <cell r="J12">
            <v>1720531009.0099998</v>
          </cell>
          <cell r="N12">
            <v>1090588139.9499998</v>
          </cell>
          <cell r="R12">
            <v>896784316.13999999</v>
          </cell>
          <cell r="V12">
            <v>757608619.06999993</v>
          </cell>
          <cell r="Z12">
            <v>1797917169.5199997</v>
          </cell>
          <cell r="AH12">
            <v>399818452.75999999</v>
          </cell>
          <cell r="AP12">
            <v>93128311.049999997</v>
          </cell>
          <cell r="AT12">
            <v>1277167.1100000003</v>
          </cell>
          <cell r="AX12">
            <v>1877396.8999999994</v>
          </cell>
        </row>
      </sheetData>
      <sheetData sheetId="7">
        <row r="11">
          <cell r="Z11">
            <v>1962197758.8199997</v>
          </cell>
        </row>
        <row r="12">
          <cell r="E12">
            <v>6032260654.2000008</v>
          </cell>
          <cell r="J12">
            <v>3443967552.9000001</v>
          </cell>
          <cell r="R12">
            <v>834837369.92000008</v>
          </cell>
          <cell r="Z12">
            <v>1631271304.7399998</v>
          </cell>
          <cell r="AP12">
            <v>118339257.89000002</v>
          </cell>
          <cell r="AT12">
            <v>0</v>
          </cell>
          <cell r="AX12">
            <v>3845168.7499999995</v>
          </cell>
        </row>
      </sheetData>
      <sheetData sheetId="8">
        <row r="17">
          <cell r="AL17">
            <v>260693.47999999998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ТЭ и ТН"/>
      <sheetName val="Утв. тарифы на ВС и ВО"/>
      <sheetName val="Утв. тарифы на ЭЭ и ЭМ"/>
    </sheetNames>
    <sheetDataSet>
      <sheetData sheetId="0"/>
      <sheetData sheetId="1"/>
      <sheetData sheetId="2">
        <row r="11">
          <cell r="E11">
            <v>1176.06</v>
          </cell>
          <cell r="F11">
            <v>1207.73</v>
          </cell>
          <cell r="G11">
            <v>209664.47</v>
          </cell>
          <cell r="H11">
            <v>209664.47</v>
          </cell>
        </row>
        <row r="13">
          <cell r="E13">
            <v>525.37</v>
          </cell>
          <cell r="F13">
            <v>537.72</v>
          </cell>
          <cell r="G13">
            <v>628599.4</v>
          </cell>
          <cell r="H13">
            <v>659445.51</v>
          </cell>
        </row>
        <row r="14">
          <cell r="E14">
            <v>940.01</v>
          </cell>
          <cell r="F14">
            <v>958.62</v>
          </cell>
          <cell r="G14">
            <v>114104.98</v>
          </cell>
          <cell r="H14">
            <v>118700.35</v>
          </cell>
        </row>
        <row r="15">
          <cell r="E15">
            <v>754.57</v>
          </cell>
          <cell r="F15">
            <v>771.1</v>
          </cell>
          <cell r="G15">
            <v>273865.03999999998</v>
          </cell>
          <cell r="H15">
            <v>287542.78000000003</v>
          </cell>
        </row>
        <row r="16">
          <cell r="E16">
            <v>662.55</v>
          </cell>
          <cell r="F16">
            <v>676.43</v>
          </cell>
          <cell r="G16">
            <v>209191.06</v>
          </cell>
          <cell r="H16">
            <v>219147.27</v>
          </cell>
        </row>
        <row r="18">
          <cell r="E18">
            <v>725.36</v>
          </cell>
          <cell r="F18">
            <v>739.83</v>
          </cell>
        </row>
        <row r="20">
          <cell r="E20">
            <v>839.39</v>
          </cell>
          <cell r="F20">
            <v>855.9</v>
          </cell>
        </row>
        <row r="21">
          <cell r="E21">
            <v>831.54</v>
          </cell>
          <cell r="F21">
            <v>863.62</v>
          </cell>
        </row>
        <row r="23">
          <cell r="E23">
            <v>606.78</v>
          </cell>
          <cell r="F23">
            <v>619.63</v>
          </cell>
          <cell r="G23">
            <v>164503.75</v>
          </cell>
          <cell r="H23">
            <v>172127.78</v>
          </cell>
        </row>
        <row r="24">
          <cell r="E24">
            <v>687.47</v>
          </cell>
          <cell r="F24">
            <v>701.49</v>
          </cell>
        </row>
        <row r="25">
          <cell r="E25">
            <v>727.81</v>
          </cell>
          <cell r="F25">
            <v>744.01</v>
          </cell>
          <cell r="G25">
            <v>161000</v>
          </cell>
          <cell r="H25">
            <v>168189.68</v>
          </cell>
        </row>
        <row r="26">
          <cell r="E26">
            <v>487.4</v>
          </cell>
          <cell r="F26">
            <v>496.28</v>
          </cell>
        </row>
        <row r="27">
          <cell r="E27">
            <v>583.37</v>
          </cell>
          <cell r="F27">
            <v>596.16</v>
          </cell>
        </row>
        <row r="28">
          <cell r="E28">
            <v>547.62</v>
          </cell>
          <cell r="F28">
            <v>557.58000000000004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11">
          <cell r="E11">
            <v>1243.43</v>
          </cell>
          <cell r="G11">
            <v>209664.47</v>
          </cell>
        </row>
        <row r="15">
          <cell r="E15">
            <v>791.96</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дексы"/>
      <sheetName val="Лист1"/>
      <sheetName val="ВН"/>
      <sheetName val="ЧТЭЦ-3_ДМ"/>
    </sheetNames>
    <sheetDataSet>
      <sheetData sheetId="0"/>
      <sheetData sheetId="1">
        <row r="18">
          <cell r="D18">
            <v>1137.7726190487217</v>
          </cell>
          <cell r="E18">
            <v>393517.8160250709</v>
          </cell>
        </row>
        <row r="20">
          <cell r="D20">
            <v>1616.375126689587</v>
          </cell>
        </row>
        <row r="34">
          <cell r="D34">
            <v>586.62826829413314</v>
          </cell>
          <cell r="E34">
            <v>717337.02606071508</v>
          </cell>
        </row>
        <row r="48">
          <cell r="D48">
            <v>727.84579817018891</v>
          </cell>
          <cell r="E48">
            <v>129003.37738887542</v>
          </cell>
        </row>
        <row r="62">
          <cell r="D62">
            <v>893.56734333147267</v>
          </cell>
          <cell r="E62">
            <v>312674.49529454339</v>
          </cell>
        </row>
        <row r="76">
          <cell r="D76">
            <v>727.11426774082508</v>
          </cell>
          <cell r="E76">
            <v>238342.41176010773</v>
          </cell>
        </row>
        <row r="90">
          <cell r="D90">
            <v>798.08104072044284</v>
          </cell>
        </row>
        <row r="104">
          <cell r="D104">
            <v>873.27281321436544</v>
          </cell>
        </row>
        <row r="118">
          <cell r="D118">
            <v>881.85417083335824</v>
          </cell>
        </row>
        <row r="132">
          <cell r="D132">
            <v>863.47189652897714</v>
          </cell>
        </row>
        <row r="146">
          <cell r="D146">
            <v>689.93092849451978</v>
          </cell>
          <cell r="E146">
            <v>191839.22165358681</v>
          </cell>
        </row>
        <row r="160">
          <cell r="D160">
            <v>583.72404464647445</v>
          </cell>
        </row>
        <row r="174">
          <cell r="D174">
            <v>808.43122040803019</v>
          </cell>
          <cell r="E174">
            <v>182912.55642123453</v>
          </cell>
        </row>
        <row r="200">
          <cell r="D200">
            <v>529.34887642860519</v>
          </cell>
        </row>
        <row r="202">
          <cell r="D202">
            <v>638.70203754466047</v>
          </cell>
        </row>
        <row r="216">
          <cell r="D216">
            <v>594.56344268911198</v>
          </cell>
        </row>
      </sheetData>
      <sheetData sheetId="2"/>
      <sheetData sheetId="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zoomScaleNormal="100" workbookViewId="0">
      <selection activeCell="F13" sqref="F13"/>
    </sheetView>
  </sheetViews>
  <sheetFormatPr defaultRowHeight="64.5" customHeight="1"/>
  <cols>
    <col min="1" max="3" width="41.7109375" style="3" customWidth="1"/>
    <col min="4" max="4" width="9.7109375" style="3" customWidth="1"/>
    <col min="5" max="249" width="9.140625" style="3"/>
    <col min="250" max="250" width="9.85546875" style="3" customWidth="1"/>
    <col min="251" max="259" width="9.140625" style="3"/>
    <col min="260" max="260" width="9.7109375" style="3" customWidth="1"/>
    <col min="261" max="505" width="9.140625" style="3"/>
    <col min="506" max="506" width="9.85546875" style="3" customWidth="1"/>
    <col min="507" max="515" width="9.140625" style="3"/>
    <col min="516" max="516" width="9.7109375" style="3" customWidth="1"/>
    <col min="517" max="761" width="9.140625" style="3"/>
    <col min="762" max="762" width="9.85546875" style="3" customWidth="1"/>
    <col min="763" max="771" width="9.140625" style="3"/>
    <col min="772" max="772" width="9.7109375" style="3" customWidth="1"/>
    <col min="773" max="1017" width="9.140625" style="3"/>
    <col min="1018" max="1018" width="9.85546875" style="3" customWidth="1"/>
    <col min="1019" max="1027" width="9.140625" style="3"/>
    <col min="1028" max="1028" width="9.7109375" style="3" customWidth="1"/>
    <col min="1029" max="1273" width="9.140625" style="3"/>
    <col min="1274" max="1274" width="9.85546875" style="3" customWidth="1"/>
    <col min="1275" max="1283" width="9.140625" style="3"/>
    <col min="1284" max="1284" width="9.7109375" style="3" customWidth="1"/>
    <col min="1285" max="1529" width="9.140625" style="3"/>
    <col min="1530" max="1530" width="9.85546875" style="3" customWidth="1"/>
    <col min="1531" max="1539" width="9.140625" style="3"/>
    <col min="1540" max="1540" width="9.7109375" style="3" customWidth="1"/>
    <col min="1541" max="1785" width="9.140625" style="3"/>
    <col min="1786" max="1786" width="9.85546875" style="3" customWidth="1"/>
    <col min="1787" max="1795" width="9.140625" style="3"/>
    <col min="1796" max="1796" width="9.7109375" style="3" customWidth="1"/>
    <col min="1797" max="2041" width="9.140625" style="3"/>
    <col min="2042" max="2042" width="9.85546875" style="3" customWidth="1"/>
    <col min="2043" max="2051" width="9.140625" style="3"/>
    <col min="2052" max="2052" width="9.7109375" style="3" customWidth="1"/>
    <col min="2053" max="2297" width="9.140625" style="3"/>
    <col min="2298" max="2298" width="9.85546875" style="3" customWidth="1"/>
    <col min="2299" max="2307" width="9.140625" style="3"/>
    <col min="2308" max="2308" width="9.7109375" style="3" customWidth="1"/>
    <col min="2309" max="2553" width="9.140625" style="3"/>
    <col min="2554" max="2554" width="9.85546875" style="3" customWidth="1"/>
    <col min="2555" max="2563" width="9.140625" style="3"/>
    <col min="2564" max="2564" width="9.7109375" style="3" customWidth="1"/>
    <col min="2565" max="2809" width="9.140625" style="3"/>
    <col min="2810" max="2810" width="9.85546875" style="3" customWidth="1"/>
    <col min="2811" max="2819" width="9.140625" style="3"/>
    <col min="2820" max="2820" width="9.7109375" style="3" customWidth="1"/>
    <col min="2821" max="3065" width="9.140625" style="3"/>
    <col min="3066" max="3066" width="9.85546875" style="3" customWidth="1"/>
    <col min="3067" max="3075" width="9.140625" style="3"/>
    <col min="3076" max="3076" width="9.7109375" style="3" customWidth="1"/>
    <col min="3077" max="3321" width="9.140625" style="3"/>
    <col min="3322" max="3322" width="9.85546875" style="3" customWidth="1"/>
    <col min="3323" max="3331" width="9.140625" style="3"/>
    <col min="3332" max="3332" width="9.7109375" style="3" customWidth="1"/>
    <col min="3333" max="3577" width="9.140625" style="3"/>
    <col min="3578" max="3578" width="9.85546875" style="3" customWidth="1"/>
    <col min="3579" max="3587" width="9.140625" style="3"/>
    <col min="3588" max="3588" width="9.7109375" style="3" customWidth="1"/>
    <col min="3589" max="3833" width="9.140625" style="3"/>
    <col min="3834" max="3834" width="9.85546875" style="3" customWidth="1"/>
    <col min="3835" max="3843" width="9.140625" style="3"/>
    <col min="3844" max="3844" width="9.7109375" style="3" customWidth="1"/>
    <col min="3845" max="4089" width="9.140625" style="3"/>
    <col min="4090" max="4090" width="9.85546875" style="3" customWidth="1"/>
    <col min="4091" max="4099" width="9.140625" style="3"/>
    <col min="4100" max="4100" width="9.7109375" style="3" customWidth="1"/>
    <col min="4101" max="4345" width="9.140625" style="3"/>
    <col min="4346" max="4346" width="9.85546875" style="3" customWidth="1"/>
    <col min="4347" max="4355" width="9.140625" style="3"/>
    <col min="4356" max="4356" width="9.7109375" style="3" customWidth="1"/>
    <col min="4357" max="4601" width="9.140625" style="3"/>
    <col min="4602" max="4602" width="9.85546875" style="3" customWidth="1"/>
    <col min="4603" max="4611" width="9.140625" style="3"/>
    <col min="4612" max="4612" width="9.7109375" style="3" customWidth="1"/>
    <col min="4613" max="4857" width="9.140625" style="3"/>
    <col min="4858" max="4858" width="9.85546875" style="3" customWidth="1"/>
    <col min="4859" max="4867" width="9.140625" style="3"/>
    <col min="4868" max="4868" width="9.7109375" style="3" customWidth="1"/>
    <col min="4869" max="5113" width="9.140625" style="3"/>
    <col min="5114" max="5114" width="9.85546875" style="3" customWidth="1"/>
    <col min="5115" max="5123" width="9.140625" style="3"/>
    <col min="5124" max="5124" width="9.7109375" style="3" customWidth="1"/>
    <col min="5125" max="5369" width="9.140625" style="3"/>
    <col min="5370" max="5370" width="9.85546875" style="3" customWidth="1"/>
    <col min="5371" max="5379" width="9.140625" style="3"/>
    <col min="5380" max="5380" width="9.7109375" style="3" customWidth="1"/>
    <col min="5381" max="5625" width="9.140625" style="3"/>
    <col min="5626" max="5626" width="9.85546875" style="3" customWidth="1"/>
    <col min="5627" max="5635" width="9.140625" style="3"/>
    <col min="5636" max="5636" width="9.7109375" style="3" customWidth="1"/>
    <col min="5637" max="5881" width="9.140625" style="3"/>
    <col min="5882" max="5882" width="9.85546875" style="3" customWidth="1"/>
    <col min="5883" max="5891" width="9.140625" style="3"/>
    <col min="5892" max="5892" width="9.7109375" style="3" customWidth="1"/>
    <col min="5893" max="6137" width="9.140625" style="3"/>
    <col min="6138" max="6138" width="9.85546875" style="3" customWidth="1"/>
    <col min="6139" max="6147" width="9.140625" style="3"/>
    <col min="6148" max="6148" width="9.7109375" style="3" customWidth="1"/>
    <col min="6149" max="6393" width="9.140625" style="3"/>
    <col min="6394" max="6394" width="9.85546875" style="3" customWidth="1"/>
    <col min="6395" max="6403" width="9.140625" style="3"/>
    <col min="6404" max="6404" width="9.7109375" style="3" customWidth="1"/>
    <col min="6405" max="6649" width="9.140625" style="3"/>
    <col min="6650" max="6650" width="9.85546875" style="3" customWidth="1"/>
    <col min="6651" max="6659" width="9.140625" style="3"/>
    <col min="6660" max="6660" width="9.7109375" style="3" customWidth="1"/>
    <col min="6661" max="6905" width="9.140625" style="3"/>
    <col min="6906" max="6906" width="9.85546875" style="3" customWidth="1"/>
    <col min="6907" max="6915" width="9.140625" style="3"/>
    <col min="6916" max="6916" width="9.7109375" style="3" customWidth="1"/>
    <col min="6917" max="7161" width="9.140625" style="3"/>
    <col min="7162" max="7162" width="9.85546875" style="3" customWidth="1"/>
    <col min="7163" max="7171" width="9.140625" style="3"/>
    <col min="7172" max="7172" width="9.7109375" style="3" customWidth="1"/>
    <col min="7173" max="7417" width="9.140625" style="3"/>
    <col min="7418" max="7418" width="9.85546875" style="3" customWidth="1"/>
    <col min="7419" max="7427" width="9.140625" style="3"/>
    <col min="7428" max="7428" width="9.7109375" style="3" customWidth="1"/>
    <col min="7429" max="7673" width="9.140625" style="3"/>
    <col min="7674" max="7674" width="9.85546875" style="3" customWidth="1"/>
    <col min="7675" max="7683" width="9.140625" style="3"/>
    <col min="7684" max="7684" width="9.7109375" style="3" customWidth="1"/>
    <col min="7685" max="7929" width="9.140625" style="3"/>
    <col min="7930" max="7930" width="9.85546875" style="3" customWidth="1"/>
    <col min="7931" max="7939" width="9.140625" style="3"/>
    <col min="7940" max="7940" width="9.7109375" style="3" customWidth="1"/>
    <col min="7941" max="8185" width="9.140625" style="3"/>
    <col min="8186" max="8186" width="9.85546875" style="3" customWidth="1"/>
    <col min="8187" max="8195" width="9.140625" style="3"/>
    <col min="8196" max="8196" width="9.7109375" style="3" customWidth="1"/>
    <col min="8197" max="8441" width="9.140625" style="3"/>
    <col min="8442" max="8442" width="9.85546875" style="3" customWidth="1"/>
    <col min="8443" max="8451" width="9.140625" style="3"/>
    <col min="8452" max="8452" width="9.7109375" style="3" customWidth="1"/>
    <col min="8453" max="8697" width="9.140625" style="3"/>
    <col min="8698" max="8698" width="9.85546875" style="3" customWidth="1"/>
    <col min="8699" max="8707" width="9.140625" style="3"/>
    <col min="8708" max="8708" width="9.7109375" style="3" customWidth="1"/>
    <col min="8709" max="8953" width="9.140625" style="3"/>
    <col min="8954" max="8954" width="9.85546875" style="3" customWidth="1"/>
    <col min="8955" max="8963" width="9.140625" style="3"/>
    <col min="8964" max="8964" width="9.7109375" style="3" customWidth="1"/>
    <col min="8965" max="9209" width="9.140625" style="3"/>
    <col min="9210" max="9210" width="9.85546875" style="3" customWidth="1"/>
    <col min="9211" max="9219" width="9.140625" style="3"/>
    <col min="9220" max="9220" width="9.7109375" style="3" customWidth="1"/>
    <col min="9221" max="9465" width="9.140625" style="3"/>
    <col min="9466" max="9466" width="9.85546875" style="3" customWidth="1"/>
    <col min="9467" max="9475" width="9.140625" style="3"/>
    <col min="9476" max="9476" width="9.7109375" style="3" customWidth="1"/>
    <col min="9477" max="9721" width="9.140625" style="3"/>
    <col min="9722" max="9722" width="9.85546875" style="3" customWidth="1"/>
    <col min="9723" max="9731" width="9.140625" style="3"/>
    <col min="9732" max="9732" width="9.7109375" style="3" customWidth="1"/>
    <col min="9733" max="9977" width="9.140625" style="3"/>
    <col min="9978" max="9978" width="9.85546875" style="3" customWidth="1"/>
    <col min="9979" max="9987" width="9.140625" style="3"/>
    <col min="9988" max="9988" width="9.7109375" style="3" customWidth="1"/>
    <col min="9989" max="10233" width="9.140625" style="3"/>
    <col min="10234" max="10234" width="9.85546875" style="3" customWidth="1"/>
    <col min="10235" max="10243" width="9.140625" style="3"/>
    <col min="10244" max="10244" width="9.7109375" style="3" customWidth="1"/>
    <col min="10245" max="10489" width="9.140625" style="3"/>
    <col min="10490" max="10490" width="9.85546875" style="3" customWidth="1"/>
    <col min="10491" max="10499" width="9.140625" style="3"/>
    <col min="10500" max="10500" width="9.7109375" style="3" customWidth="1"/>
    <col min="10501" max="10745" width="9.140625" style="3"/>
    <col min="10746" max="10746" width="9.85546875" style="3" customWidth="1"/>
    <col min="10747" max="10755" width="9.140625" style="3"/>
    <col min="10756" max="10756" width="9.7109375" style="3" customWidth="1"/>
    <col min="10757" max="11001" width="9.140625" style="3"/>
    <col min="11002" max="11002" width="9.85546875" style="3" customWidth="1"/>
    <col min="11003" max="11011" width="9.140625" style="3"/>
    <col min="11012" max="11012" width="9.7109375" style="3" customWidth="1"/>
    <col min="11013" max="11257" width="9.140625" style="3"/>
    <col min="11258" max="11258" width="9.85546875" style="3" customWidth="1"/>
    <col min="11259" max="11267" width="9.140625" style="3"/>
    <col min="11268" max="11268" width="9.7109375" style="3" customWidth="1"/>
    <col min="11269" max="11513" width="9.140625" style="3"/>
    <col min="11514" max="11514" width="9.85546875" style="3" customWidth="1"/>
    <col min="11515" max="11523" width="9.140625" style="3"/>
    <col min="11524" max="11524" width="9.7109375" style="3" customWidth="1"/>
    <col min="11525" max="11769" width="9.140625" style="3"/>
    <col min="11770" max="11770" width="9.85546875" style="3" customWidth="1"/>
    <col min="11771" max="11779" width="9.140625" style="3"/>
    <col min="11780" max="11780" width="9.7109375" style="3" customWidth="1"/>
    <col min="11781" max="12025" width="9.140625" style="3"/>
    <col min="12026" max="12026" width="9.85546875" style="3" customWidth="1"/>
    <col min="12027" max="12035" width="9.140625" style="3"/>
    <col min="12036" max="12036" width="9.7109375" style="3" customWidth="1"/>
    <col min="12037" max="12281" width="9.140625" style="3"/>
    <col min="12282" max="12282" width="9.85546875" style="3" customWidth="1"/>
    <col min="12283" max="12291" width="9.140625" style="3"/>
    <col min="12292" max="12292" width="9.7109375" style="3" customWidth="1"/>
    <col min="12293" max="12537" width="9.140625" style="3"/>
    <col min="12538" max="12538" width="9.85546875" style="3" customWidth="1"/>
    <col min="12539" max="12547" width="9.140625" style="3"/>
    <col min="12548" max="12548" width="9.7109375" style="3" customWidth="1"/>
    <col min="12549" max="12793" width="9.140625" style="3"/>
    <col min="12794" max="12794" width="9.85546875" style="3" customWidth="1"/>
    <col min="12795" max="12803" width="9.140625" style="3"/>
    <col min="12804" max="12804" width="9.7109375" style="3" customWidth="1"/>
    <col min="12805" max="13049" width="9.140625" style="3"/>
    <col min="13050" max="13050" width="9.85546875" style="3" customWidth="1"/>
    <col min="13051" max="13059" width="9.140625" style="3"/>
    <col min="13060" max="13060" width="9.7109375" style="3" customWidth="1"/>
    <col min="13061" max="13305" width="9.140625" style="3"/>
    <col min="13306" max="13306" width="9.85546875" style="3" customWidth="1"/>
    <col min="13307" max="13315" width="9.140625" style="3"/>
    <col min="13316" max="13316" width="9.7109375" style="3" customWidth="1"/>
    <col min="13317" max="13561" width="9.140625" style="3"/>
    <col min="13562" max="13562" width="9.85546875" style="3" customWidth="1"/>
    <col min="13563" max="13571" width="9.140625" style="3"/>
    <col min="13572" max="13572" width="9.7109375" style="3" customWidth="1"/>
    <col min="13573" max="13817" width="9.140625" style="3"/>
    <col min="13818" max="13818" width="9.85546875" style="3" customWidth="1"/>
    <col min="13819" max="13827" width="9.140625" style="3"/>
    <col min="13828" max="13828" width="9.7109375" style="3" customWidth="1"/>
    <col min="13829" max="14073" width="9.140625" style="3"/>
    <col min="14074" max="14074" width="9.85546875" style="3" customWidth="1"/>
    <col min="14075" max="14083" width="9.140625" style="3"/>
    <col min="14084" max="14084" width="9.7109375" style="3" customWidth="1"/>
    <col min="14085" max="14329" width="9.140625" style="3"/>
    <col min="14330" max="14330" width="9.85546875" style="3" customWidth="1"/>
    <col min="14331" max="14339" width="9.140625" style="3"/>
    <col min="14340" max="14340" width="9.7109375" style="3" customWidth="1"/>
    <col min="14341" max="14585" width="9.140625" style="3"/>
    <col min="14586" max="14586" width="9.85546875" style="3" customWidth="1"/>
    <col min="14587" max="14595" width="9.140625" style="3"/>
    <col min="14596" max="14596" width="9.7109375" style="3" customWidth="1"/>
    <col min="14597" max="14841" width="9.140625" style="3"/>
    <col min="14842" max="14842" width="9.85546875" style="3" customWidth="1"/>
    <col min="14843" max="14851" width="9.140625" style="3"/>
    <col min="14852" max="14852" width="9.7109375" style="3" customWidth="1"/>
    <col min="14853" max="15097" width="9.140625" style="3"/>
    <col min="15098" max="15098" width="9.85546875" style="3" customWidth="1"/>
    <col min="15099" max="15107" width="9.140625" style="3"/>
    <col min="15108" max="15108" width="9.7109375" style="3" customWidth="1"/>
    <col min="15109" max="15353" width="9.140625" style="3"/>
    <col min="15354" max="15354" width="9.85546875" style="3" customWidth="1"/>
    <col min="15355" max="15363" width="9.140625" style="3"/>
    <col min="15364" max="15364" width="9.7109375" style="3" customWidth="1"/>
    <col min="15365" max="15609" width="9.140625" style="3"/>
    <col min="15610" max="15610" width="9.85546875" style="3" customWidth="1"/>
    <col min="15611" max="15619" width="9.140625" style="3"/>
    <col min="15620" max="15620" width="9.7109375" style="3" customWidth="1"/>
    <col min="15621" max="15865" width="9.140625" style="3"/>
    <col min="15866" max="15866" width="9.85546875" style="3" customWidth="1"/>
    <col min="15867" max="15875" width="9.140625" style="3"/>
    <col min="15876" max="15876" width="9.7109375" style="3" customWidth="1"/>
    <col min="15877" max="16121" width="9.140625" style="3"/>
    <col min="16122" max="16122" width="9.85546875" style="3" customWidth="1"/>
    <col min="16123" max="16131" width="9.140625" style="3"/>
    <col min="16132" max="16132" width="9.7109375" style="3" customWidth="1"/>
    <col min="16133" max="16384" width="9.140625" style="3"/>
  </cols>
  <sheetData>
    <row r="1" spans="1:3" ht="25.5" customHeight="1">
      <c r="A1" s="79" t="s">
        <v>37</v>
      </c>
      <c r="B1" s="79"/>
      <c r="C1" s="79"/>
    </row>
    <row r="2" spans="1:3" ht="24.75" customHeight="1">
      <c r="A2" s="79" t="s">
        <v>185</v>
      </c>
      <c r="B2" s="79"/>
      <c r="C2" s="79"/>
    </row>
    <row r="3" spans="1:3" ht="31.5" customHeight="1">
      <c r="A3" s="80" t="s">
        <v>62</v>
      </c>
      <c r="B3" s="80"/>
      <c r="C3" s="80"/>
    </row>
    <row r="4" spans="1:3" ht="86.25" customHeight="1">
      <c r="A4" s="81" t="s">
        <v>63</v>
      </c>
      <c r="B4" s="81"/>
      <c r="C4" s="81"/>
    </row>
    <row r="5" spans="1:3" ht="27" customHeight="1">
      <c r="A5" s="5" t="s">
        <v>67</v>
      </c>
      <c r="B5" s="6">
        <v>2019</v>
      </c>
      <c r="C5" s="4" t="s">
        <v>68</v>
      </c>
    </row>
    <row r="6" spans="1:3" ht="12.75"/>
    <row r="7" spans="1:3" s="20" customFormat="1" ht="35.25" customHeight="1">
      <c r="A7" s="72" t="s">
        <v>64</v>
      </c>
      <c r="B7" s="72"/>
      <c r="C7" s="21" t="s">
        <v>191</v>
      </c>
    </row>
    <row r="8" spans="1:3" s="20" customFormat="1" ht="35.25" customHeight="1">
      <c r="A8" s="72" t="s">
        <v>65</v>
      </c>
      <c r="B8" s="72"/>
      <c r="C8" s="22" t="s">
        <v>192</v>
      </c>
    </row>
    <row r="9" spans="1:3" s="20" customFormat="1" ht="11.25">
      <c r="A9" s="73" t="s">
        <v>66</v>
      </c>
      <c r="B9" s="74"/>
      <c r="C9" s="23" t="s">
        <v>0</v>
      </c>
    </row>
    <row r="10" spans="1:3" s="20" customFormat="1" ht="11.25">
      <c r="A10" s="75"/>
      <c r="B10" s="76"/>
      <c r="C10" s="23" t="s">
        <v>73</v>
      </c>
    </row>
    <row r="11" spans="1:3" s="20" customFormat="1" ht="11.25">
      <c r="A11" s="75"/>
      <c r="B11" s="76"/>
      <c r="C11" s="23" t="s">
        <v>31</v>
      </c>
    </row>
    <row r="12" spans="1:3" s="20" customFormat="1" ht="11.25">
      <c r="A12" s="75"/>
      <c r="B12" s="76"/>
      <c r="C12" s="23" t="s">
        <v>27</v>
      </c>
    </row>
    <row r="13" spans="1:3" s="20" customFormat="1" ht="11.25">
      <c r="A13" s="75"/>
      <c r="B13" s="76"/>
      <c r="C13" s="23" t="s">
        <v>24</v>
      </c>
    </row>
    <row r="14" spans="1:3" s="20" customFormat="1" ht="11.25">
      <c r="A14" s="75"/>
      <c r="B14" s="76"/>
      <c r="C14" s="23" t="s">
        <v>28</v>
      </c>
    </row>
    <row r="15" spans="1:3" s="20" customFormat="1" ht="11.25">
      <c r="A15" s="75"/>
      <c r="B15" s="76"/>
      <c r="C15" s="23" t="s">
        <v>42</v>
      </c>
    </row>
    <row r="16" spans="1:3" s="20" customFormat="1" ht="11.25">
      <c r="A16" s="75"/>
      <c r="B16" s="76"/>
      <c r="C16" s="23" t="s">
        <v>44</v>
      </c>
    </row>
    <row r="17" spans="1:3" s="20" customFormat="1" ht="11.25">
      <c r="A17" s="75"/>
      <c r="B17" s="76"/>
      <c r="C17" s="23" t="s">
        <v>69</v>
      </c>
    </row>
    <row r="18" spans="1:3" s="20" customFormat="1" ht="11.25">
      <c r="A18" s="75"/>
      <c r="B18" s="76"/>
      <c r="C18" s="23" t="s">
        <v>45</v>
      </c>
    </row>
    <row r="19" spans="1:3" s="20" customFormat="1" ht="11.25">
      <c r="A19" s="75"/>
      <c r="B19" s="76"/>
      <c r="C19" s="23" t="s">
        <v>26</v>
      </c>
    </row>
    <row r="20" spans="1:3" s="20" customFormat="1" ht="11.25">
      <c r="A20" s="75"/>
      <c r="B20" s="76"/>
      <c r="C20" s="23" t="s">
        <v>43</v>
      </c>
    </row>
    <row r="21" spans="1:3" s="20" customFormat="1" ht="11.25">
      <c r="A21" s="75"/>
      <c r="B21" s="76"/>
      <c r="C21" s="23" t="s">
        <v>25</v>
      </c>
    </row>
    <row r="22" spans="1:3" s="20" customFormat="1" ht="11.25">
      <c r="A22" s="75"/>
      <c r="B22" s="76"/>
      <c r="C22" s="23" t="s">
        <v>70</v>
      </c>
    </row>
    <row r="23" spans="1:3" s="20" customFormat="1" ht="11.25">
      <c r="A23" s="75"/>
      <c r="B23" s="76"/>
      <c r="C23" s="23" t="s">
        <v>71</v>
      </c>
    </row>
    <row r="24" spans="1:3" s="20" customFormat="1" ht="11.25">
      <c r="A24" s="77"/>
      <c r="B24" s="78"/>
      <c r="C24" s="23" t="s">
        <v>72</v>
      </c>
    </row>
  </sheetData>
  <mergeCells count="7">
    <mergeCell ref="A8:B8"/>
    <mergeCell ref="A9:B24"/>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22" activePane="bottomRight" state="frozen"/>
      <selection activeCell="E50" sqref="E50"/>
      <selection pane="topRight" activeCell="E50" sqref="E50"/>
      <selection pane="bottomLeft" activeCell="E50" sqref="E50"/>
      <selection pane="bottomRight" activeCell="E49" sqref="E49"/>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7">
      <c r="F1" s="34" t="s">
        <v>176</v>
      </c>
    </row>
    <row r="2" spans="1:7">
      <c r="F2" s="34" t="s">
        <v>77</v>
      </c>
    </row>
    <row r="4" spans="1:7">
      <c r="A4" s="99" t="s">
        <v>39</v>
      </c>
      <c r="B4" s="99"/>
      <c r="C4" s="99"/>
      <c r="D4" s="99"/>
      <c r="E4" s="99"/>
      <c r="F4" s="99"/>
    </row>
    <row r="5" spans="1:7">
      <c r="A5" s="99" t="str">
        <f>Титульный!$C$12</f>
        <v>Челябинская ТЭЦ-1 (ТГ-10, ТГ-11) НВ</v>
      </c>
      <c r="B5" s="99"/>
      <c r="C5" s="99"/>
      <c r="D5" s="99"/>
      <c r="E5" s="99"/>
      <c r="F5" s="99"/>
    </row>
    <row r="6" spans="1:7">
      <c r="A6" s="49"/>
      <c r="B6" s="49"/>
      <c r="C6" s="49"/>
      <c r="D6" s="49"/>
      <c r="E6" s="49"/>
      <c r="F6" s="49"/>
    </row>
    <row r="7" spans="1:7" s="8" customFormat="1" ht="38.25">
      <c r="A7" s="100" t="s">
        <v>1</v>
      </c>
      <c r="B7" s="100" t="s">
        <v>9</v>
      </c>
      <c r="C7" s="100" t="s">
        <v>10</v>
      </c>
      <c r="D7" s="50" t="s">
        <v>149</v>
      </c>
      <c r="E7" s="50" t="s">
        <v>150</v>
      </c>
      <c r="F7" s="50" t="s">
        <v>151</v>
      </c>
    </row>
    <row r="8" spans="1:7" s="8" customFormat="1">
      <c r="A8" s="100"/>
      <c r="B8" s="100"/>
      <c r="C8" s="100"/>
      <c r="D8" s="50">
        <f>Титульный!$B$5-2</f>
        <v>2017</v>
      </c>
      <c r="E8" s="50">
        <f>Титульный!$B$5-1</f>
        <v>2018</v>
      </c>
      <c r="F8" s="50">
        <f>Титульный!$B$5</f>
        <v>2019</v>
      </c>
    </row>
    <row r="9" spans="1:7" s="8" customFormat="1">
      <c r="A9" s="100"/>
      <c r="B9" s="100"/>
      <c r="C9" s="100"/>
      <c r="D9" s="50" t="s">
        <v>68</v>
      </c>
      <c r="E9" s="50" t="s">
        <v>68</v>
      </c>
      <c r="F9" s="50" t="s">
        <v>68</v>
      </c>
    </row>
    <row r="10" spans="1:7">
      <c r="A10" s="36" t="s">
        <v>88</v>
      </c>
      <c r="B10" s="37" t="s">
        <v>33</v>
      </c>
      <c r="C10" s="36" t="s">
        <v>35</v>
      </c>
      <c r="D10" s="29">
        <f>[18]Год!$H$11</f>
        <v>83.799999999999983</v>
      </c>
      <c r="E10" s="29">
        <f>'[19]0.1'!$I$11</f>
        <v>83.8</v>
      </c>
      <c r="F10" s="29">
        <f>'[19]0.1'!$L$11</f>
        <v>83.799999999999983</v>
      </c>
    </row>
    <row r="11" spans="1:7" ht="38.25">
      <c r="A11" s="36" t="s">
        <v>89</v>
      </c>
      <c r="B11" s="37" t="s">
        <v>34</v>
      </c>
      <c r="C11" s="36" t="s">
        <v>35</v>
      </c>
      <c r="D11" s="29">
        <f>[18]Год!$H$12-[18]Год!$H$14</f>
        <v>74.540937333589326</v>
      </c>
      <c r="E11" s="29">
        <f>'[19]0.1'!$I$12</f>
        <v>77.245454743333326</v>
      </c>
      <c r="F11" s="29">
        <f>'[19]0.1'!$L$12</f>
        <v>76.721799795186882</v>
      </c>
    </row>
    <row r="12" spans="1:7">
      <c r="A12" s="36" t="s">
        <v>90</v>
      </c>
      <c r="B12" s="37" t="s">
        <v>91</v>
      </c>
      <c r="C12" s="36" t="s">
        <v>152</v>
      </c>
      <c r="D12" s="29">
        <f>'[20]ЧТЭЦ-1 НМ'!$E$7</f>
        <v>662.31700000000001</v>
      </c>
      <c r="E12" s="29">
        <f>'[19]0.1'!$I$13</f>
        <v>628.38499999999999</v>
      </c>
      <c r="F12" s="29">
        <f>'[19]0.1'!$L$13</f>
        <v>564.92100000000005</v>
      </c>
      <c r="G12" s="47"/>
    </row>
    <row r="13" spans="1:7">
      <c r="A13" s="36" t="s">
        <v>92</v>
      </c>
      <c r="B13" s="37" t="s">
        <v>93</v>
      </c>
      <c r="C13" s="36" t="s">
        <v>152</v>
      </c>
      <c r="D13" s="29">
        <f>'[20]ЧТЭЦ-1 НМ'!$E$22</f>
        <v>609.3730149999999</v>
      </c>
      <c r="E13" s="29">
        <f>'[19]0.1'!$I$15</f>
        <v>586.57287227118002</v>
      </c>
      <c r="F13" s="29">
        <f>'[19]0.1'!$L$15</f>
        <v>513.82900000000006</v>
      </c>
    </row>
    <row r="14" spans="1:7">
      <c r="A14" s="36" t="s">
        <v>94</v>
      </c>
      <c r="B14" s="37" t="s">
        <v>95</v>
      </c>
      <c r="C14" s="36" t="s">
        <v>96</v>
      </c>
      <c r="D14" s="29">
        <f>'[20]ЧТЭЦ-1 НМ'!$E$23</f>
        <v>847.10699999999997</v>
      </c>
      <c r="E14" s="29">
        <f>'[19]0.1'!$I$16</f>
        <v>673.99089999999899</v>
      </c>
      <c r="F14" s="29">
        <f>'[19]0.1'!$L$16</f>
        <v>798.33200000000011</v>
      </c>
    </row>
    <row r="15" spans="1:7">
      <c r="A15" s="36" t="s">
        <v>97</v>
      </c>
      <c r="B15" s="37" t="s">
        <v>98</v>
      </c>
      <c r="C15" s="36" t="s">
        <v>96</v>
      </c>
      <c r="D15" s="29">
        <f>'[20]ЧТЭЦ-1 НМ'!$E$26</f>
        <v>846.93317000000002</v>
      </c>
      <c r="E15" s="29">
        <f>'[19]0.1'!$I$17</f>
        <v>673.99089999999899</v>
      </c>
      <c r="F15" s="29">
        <f>'[19]0.1'!$L$17</f>
        <v>798.18600000000015</v>
      </c>
    </row>
    <row r="16" spans="1:7">
      <c r="A16" s="36" t="s">
        <v>99</v>
      </c>
      <c r="B16" s="37" t="s">
        <v>11</v>
      </c>
      <c r="C16" s="36" t="s">
        <v>100</v>
      </c>
      <c r="D16" s="40"/>
      <c r="E16" s="29">
        <f>'[19]0.1'!$I$43</f>
        <v>695816.92443791521</v>
      </c>
      <c r="F16" s="29">
        <f>'[19]0.1'!$L$43</f>
        <v>492756.73414317693</v>
      </c>
    </row>
    <row r="17" spans="1:8">
      <c r="A17" s="36" t="s">
        <v>101</v>
      </c>
      <c r="B17" s="38" t="s">
        <v>14</v>
      </c>
      <c r="C17" s="36" t="s">
        <v>100</v>
      </c>
      <c r="D17" s="40"/>
      <c r="E17" s="29">
        <f>'[19]0.1'!$G$43</f>
        <v>581387.02060466923</v>
      </c>
      <c r="F17" s="29">
        <f>'[19]0.1'!$J$43</f>
        <v>373988.27862799005</v>
      </c>
    </row>
    <row r="18" spans="1:8">
      <c r="A18" s="36" t="s">
        <v>102</v>
      </c>
      <c r="B18" s="38" t="s">
        <v>15</v>
      </c>
      <c r="C18" s="36" t="s">
        <v>100</v>
      </c>
      <c r="D18" s="40"/>
      <c r="E18" s="29">
        <f>'[19]0.1'!$H$43</f>
        <v>114429.90383324599</v>
      </c>
      <c r="F18" s="29">
        <f>'[19]0.1'!$K$43</f>
        <v>118768.45551518687</v>
      </c>
    </row>
    <row r="19" spans="1:8" ht="25.5">
      <c r="A19" s="36" t="s">
        <v>103</v>
      </c>
      <c r="B19" s="38" t="s">
        <v>16</v>
      </c>
      <c r="C19" s="36" t="s">
        <v>100</v>
      </c>
      <c r="D19" s="41"/>
      <c r="E19" s="41"/>
      <c r="F19" s="41"/>
    </row>
    <row r="20" spans="1:8">
      <c r="A20" s="36" t="s">
        <v>104</v>
      </c>
      <c r="B20" s="37" t="s">
        <v>105</v>
      </c>
      <c r="C20" s="36" t="s">
        <v>100</v>
      </c>
      <c r="D20" s="29">
        <f>'[5]ЧТЭЦ-1 НМ'!$E$235</f>
        <v>857020.91985999991</v>
      </c>
      <c r="E20" s="29">
        <f>'[19]0.1'!$I$31</f>
        <v>895436.22584825393</v>
      </c>
      <c r="F20" s="29">
        <f>'[19]0.1'!$L$31</f>
        <v>876623.93160568562</v>
      </c>
      <c r="G20" s="47"/>
      <c r="H20" s="47"/>
    </row>
    <row r="21" spans="1:8">
      <c r="A21" s="36" t="s">
        <v>106</v>
      </c>
      <c r="B21" s="38" t="s">
        <v>107</v>
      </c>
      <c r="C21" s="36" t="s">
        <v>100</v>
      </c>
      <c r="D21" s="29">
        <f>'[5]ЧТЭЦ-1 НМ'!$E$255</f>
        <v>496457.25789000007</v>
      </c>
      <c r="E21" s="29">
        <f>'[19]0.1'!$I$32</f>
        <v>580730.01206189569</v>
      </c>
      <c r="F21" s="29">
        <f>'[19]0.1'!$L$32</f>
        <v>373386.35621508502</v>
      </c>
      <c r="G21" s="47"/>
      <c r="H21" s="47"/>
    </row>
    <row r="22" spans="1:8" ht="25.5">
      <c r="A22" s="36"/>
      <c r="B22" s="38" t="s">
        <v>108</v>
      </c>
      <c r="C22" s="36" t="s">
        <v>36</v>
      </c>
      <c r="D22" s="29">
        <f>'[5]ЧТЭЦ-1 НМ'!$E$31</f>
        <v>239.63282847248303</v>
      </c>
      <c r="E22" s="29">
        <f>'[19]4'!$L$24</f>
        <v>269.2</v>
      </c>
      <c r="F22" s="29">
        <f>'[19]4'!$M$24</f>
        <v>190.90805765545096</v>
      </c>
      <c r="G22" s="47"/>
      <c r="H22" s="47"/>
    </row>
    <row r="23" spans="1:8">
      <c r="A23" s="36" t="s">
        <v>109</v>
      </c>
      <c r="B23" s="38" t="s">
        <v>110</v>
      </c>
      <c r="C23" s="36" t="s">
        <v>100</v>
      </c>
      <c r="D23" s="29">
        <f>'[5]ЧТЭЦ-1 НМ'!$E$254</f>
        <v>360563.66196999996</v>
      </c>
      <c r="E23" s="29">
        <f>'[19]0.1'!$I$33</f>
        <v>314706.21378635825</v>
      </c>
      <c r="F23" s="29">
        <f>'[19]0.1'!$L$33</f>
        <v>503237.5753906006</v>
      </c>
    </row>
    <row r="24" spans="1:8">
      <c r="A24" s="36"/>
      <c r="B24" s="38" t="s">
        <v>111</v>
      </c>
      <c r="C24" s="36" t="s">
        <v>112</v>
      </c>
      <c r="D24" s="29">
        <f>'[5]ЧТЭЦ-1 НМ'!$E$36</f>
        <v>119.53216964701618</v>
      </c>
      <c r="E24" s="29">
        <f>'[19]4'!$L$28</f>
        <v>127</v>
      </c>
      <c r="F24" s="29">
        <f>'[19]4'!$M$28</f>
        <v>166.31488899764477</v>
      </c>
    </row>
    <row r="25" spans="1:8" ht="25.5">
      <c r="A25" s="36"/>
      <c r="B25" s="9" t="s">
        <v>113</v>
      </c>
      <c r="C25" s="36" t="s">
        <v>32</v>
      </c>
      <c r="D25" s="61" t="s">
        <v>195</v>
      </c>
      <c r="E25" s="50" t="s">
        <v>195</v>
      </c>
      <c r="F25" s="41"/>
    </row>
    <row r="26" spans="1:8">
      <c r="A26" s="36" t="s">
        <v>114</v>
      </c>
      <c r="B26" s="9" t="s">
        <v>17</v>
      </c>
      <c r="C26" s="36" t="s">
        <v>100</v>
      </c>
      <c r="D26" s="41"/>
      <c r="E26" s="41"/>
      <c r="F26" s="41"/>
    </row>
    <row r="27" spans="1:8" ht="25.5">
      <c r="A27" s="36" t="s">
        <v>115</v>
      </c>
      <c r="B27" s="9" t="s">
        <v>12</v>
      </c>
      <c r="C27" s="36" t="s">
        <v>32</v>
      </c>
      <c r="D27" s="41"/>
      <c r="E27" s="41"/>
      <c r="F27" s="41"/>
    </row>
    <row r="28" spans="1:8">
      <c r="A28" s="36" t="s">
        <v>116</v>
      </c>
      <c r="B28" s="38" t="s">
        <v>117</v>
      </c>
      <c r="C28" s="36" t="s">
        <v>118</v>
      </c>
      <c r="D28" s="41"/>
      <c r="E28" s="41"/>
      <c r="F28" s="41"/>
    </row>
    <row r="29" spans="1:8" ht="25.5">
      <c r="A29" s="39" t="s">
        <v>119</v>
      </c>
      <c r="B29" s="38" t="s">
        <v>120</v>
      </c>
      <c r="C29" s="50" t="s">
        <v>121</v>
      </c>
      <c r="D29" s="41"/>
      <c r="E29" s="41"/>
      <c r="F29" s="41"/>
    </row>
    <row r="30" spans="1:8" ht="25.5">
      <c r="A30" s="36" t="s">
        <v>122</v>
      </c>
      <c r="B30" s="38" t="s">
        <v>123</v>
      </c>
      <c r="C30" s="36" t="s">
        <v>32</v>
      </c>
      <c r="D30" s="41"/>
      <c r="E30" s="41"/>
      <c r="F30" s="41"/>
    </row>
    <row r="31" spans="1:8">
      <c r="A31" s="36" t="s">
        <v>124</v>
      </c>
      <c r="B31" s="9" t="s">
        <v>125</v>
      </c>
      <c r="C31" s="36" t="s">
        <v>100</v>
      </c>
      <c r="D31" s="29">
        <f>('[6]ЧТЭЦ-1'!$N$12+'[6]ЧТЭЦ-1'!$V$12+'[6]ЧТЭЦ-1'!$AH$12)/1000</f>
        <v>1231081.8467000001</v>
      </c>
      <c r="E31" s="41"/>
      <c r="F31" s="41"/>
      <c r="G31" s="47"/>
    </row>
    <row r="32" spans="1:8">
      <c r="A32" s="36" t="s">
        <v>126</v>
      </c>
      <c r="B32" s="38" t="s">
        <v>18</v>
      </c>
      <c r="C32" s="36" t="s">
        <v>100</v>
      </c>
      <c r="D32" s="29">
        <f>'[6]ЧТЭЦ-1'!$N$12/1000</f>
        <v>556375.73183000006</v>
      </c>
      <c r="E32" s="41"/>
      <c r="F32" s="41"/>
      <c r="G32" s="47"/>
    </row>
    <row r="33" spans="1:6">
      <c r="A33" s="36" t="s">
        <v>127</v>
      </c>
      <c r="B33" s="38" t="s">
        <v>19</v>
      </c>
      <c r="C33" s="36" t="s">
        <v>100</v>
      </c>
      <c r="D33" s="29">
        <f>'[6]ЧТЭЦ-1'!$V$12/1000</f>
        <v>193858.24155999999</v>
      </c>
      <c r="E33" s="41"/>
      <c r="F33" s="41"/>
    </row>
    <row r="34" spans="1:6" ht="25.5">
      <c r="A34" s="36" t="s">
        <v>128</v>
      </c>
      <c r="B34" s="38" t="s">
        <v>20</v>
      </c>
      <c r="C34" s="36" t="s">
        <v>100</v>
      </c>
      <c r="D34" s="29">
        <f>'[6]ЧТЭЦ-1'!$AH$12/1000</f>
        <v>480847.87330999994</v>
      </c>
      <c r="E34" s="41"/>
      <c r="F34" s="41"/>
    </row>
    <row r="35" spans="1:6">
      <c r="A35" s="36" t="s">
        <v>179</v>
      </c>
      <c r="B35" s="38" t="s">
        <v>180</v>
      </c>
      <c r="C35" s="36" t="s">
        <v>100</v>
      </c>
      <c r="D35" s="29">
        <v>0</v>
      </c>
      <c r="E35" s="41"/>
      <c r="F35" s="41"/>
    </row>
    <row r="36" spans="1:6">
      <c r="A36" s="36" t="s">
        <v>129</v>
      </c>
      <c r="B36" s="9" t="s">
        <v>130</v>
      </c>
      <c r="C36" s="36" t="s">
        <v>100</v>
      </c>
      <c r="D36" s="41"/>
      <c r="E36" s="41"/>
      <c r="F36" s="41"/>
    </row>
    <row r="37" spans="1:6">
      <c r="A37" s="36" t="s">
        <v>131</v>
      </c>
      <c r="B37" s="38" t="s">
        <v>21</v>
      </c>
      <c r="C37" s="36" t="s">
        <v>100</v>
      </c>
      <c r="D37" s="41"/>
      <c r="E37" s="41"/>
      <c r="F37" s="41"/>
    </row>
    <row r="38" spans="1:6">
      <c r="A38" s="36" t="s">
        <v>132</v>
      </c>
      <c r="B38" s="38" t="s">
        <v>40</v>
      </c>
      <c r="C38" s="36" t="s">
        <v>100</v>
      </c>
      <c r="D38" s="41"/>
      <c r="E38" s="41"/>
      <c r="F38" s="41"/>
    </row>
    <row r="39" spans="1:6">
      <c r="A39" s="36" t="s">
        <v>133</v>
      </c>
      <c r="B39" s="9" t="s">
        <v>134</v>
      </c>
      <c r="C39" s="36" t="s">
        <v>100</v>
      </c>
      <c r="D39" s="41"/>
      <c r="E39" s="41"/>
      <c r="F39" s="41"/>
    </row>
    <row r="40" spans="1:6">
      <c r="A40" s="36" t="s">
        <v>135</v>
      </c>
      <c r="B40" s="38" t="s">
        <v>18</v>
      </c>
      <c r="C40" s="36" t="s">
        <v>100</v>
      </c>
      <c r="D40" s="41"/>
      <c r="E40" s="41"/>
      <c r="F40" s="41"/>
    </row>
    <row r="41" spans="1:6">
      <c r="A41" s="36" t="s">
        <v>136</v>
      </c>
      <c r="B41" s="38" t="s">
        <v>19</v>
      </c>
      <c r="C41" s="36" t="s">
        <v>100</v>
      </c>
      <c r="D41" s="41"/>
      <c r="E41" s="41"/>
      <c r="F41" s="41"/>
    </row>
    <row r="42" spans="1:6" ht="25.5">
      <c r="A42" s="36" t="s">
        <v>137</v>
      </c>
      <c r="B42" s="38" t="s">
        <v>20</v>
      </c>
      <c r="C42" s="36" t="s">
        <v>100</v>
      </c>
      <c r="D42" s="41"/>
      <c r="E42" s="41"/>
      <c r="F42" s="41"/>
    </row>
    <row r="43" spans="1:6" ht="25.5">
      <c r="A43" s="36" t="s">
        <v>138</v>
      </c>
      <c r="B43" s="9" t="s">
        <v>139</v>
      </c>
      <c r="C43" s="36" t="s">
        <v>100</v>
      </c>
      <c r="D43" s="41"/>
      <c r="E43" s="41"/>
      <c r="F43" s="41"/>
    </row>
    <row r="44" spans="1:6">
      <c r="A44" s="36" t="s">
        <v>140</v>
      </c>
      <c r="B44" s="38" t="s">
        <v>18</v>
      </c>
      <c r="C44" s="36" t="s">
        <v>100</v>
      </c>
      <c r="D44" s="41"/>
      <c r="E44" s="41"/>
      <c r="F44" s="41"/>
    </row>
    <row r="45" spans="1:6">
      <c r="A45" s="36" t="s">
        <v>141</v>
      </c>
      <c r="B45" s="38" t="s">
        <v>19</v>
      </c>
      <c r="C45" s="36" t="s">
        <v>100</v>
      </c>
      <c r="D45" s="41"/>
      <c r="E45" s="41"/>
      <c r="F45" s="41"/>
    </row>
    <row r="46" spans="1:6" ht="25.5">
      <c r="A46" s="36" t="s">
        <v>142</v>
      </c>
      <c r="B46" s="38" t="s">
        <v>20</v>
      </c>
      <c r="C46" s="36" t="s">
        <v>100</v>
      </c>
      <c r="D46" s="41"/>
      <c r="E46" s="41"/>
      <c r="F46" s="41"/>
    </row>
    <row r="47" spans="1:6">
      <c r="A47" s="36" t="s">
        <v>143</v>
      </c>
      <c r="B47" s="9" t="s">
        <v>178</v>
      </c>
      <c r="C47" s="36" t="s">
        <v>100</v>
      </c>
      <c r="D47" s="52">
        <v>12200091</v>
      </c>
      <c r="E47" s="41"/>
      <c r="F47" s="41"/>
    </row>
    <row r="48" spans="1:6" ht="25.5">
      <c r="A48" s="36" t="s">
        <v>144</v>
      </c>
      <c r="B48" s="9" t="s">
        <v>177</v>
      </c>
      <c r="C48" s="36" t="s">
        <v>145</v>
      </c>
      <c r="D48" s="31">
        <f>19896480/65281414</f>
        <v>0.30478016300320948</v>
      </c>
      <c r="E48" s="41"/>
      <c r="F48" s="41"/>
    </row>
    <row r="49" spans="1:6" ht="229.5">
      <c r="A49" s="36" t="s">
        <v>146</v>
      </c>
      <c r="B49" s="9" t="s">
        <v>13</v>
      </c>
      <c r="C49" s="36" t="s">
        <v>32</v>
      </c>
      <c r="D49" s="9" t="s">
        <v>197</v>
      </c>
      <c r="E49" s="9" t="s">
        <v>200</v>
      </c>
      <c r="F49" s="9" t="s">
        <v>147</v>
      </c>
    </row>
    <row r="50" spans="1:6">
      <c r="B50" s="8"/>
    </row>
    <row r="51" spans="1:6">
      <c r="A51" s="98" t="s">
        <v>148</v>
      </c>
      <c r="B51" s="98"/>
      <c r="C51" s="98"/>
      <c r="D51" s="98"/>
      <c r="E51" s="98"/>
      <c r="F51" s="98"/>
    </row>
    <row r="52" spans="1:6">
      <c r="A52" s="98" t="s">
        <v>186</v>
      </c>
      <c r="B52" s="98"/>
      <c r="C52" s="98"/>
      <c r="D52" s="98"/>
      <c r="E52" s="98"/>
      <c r="F52" s="98"/>
    </row>
  </sheetData>
  <mergeCells count="7">
    <mergeCell ref="A51:F51"/>
    <mergeCell ref="A52:F52"/>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sqref="A1:XFD1048576"/>
      <selection pane="topRight" sqref="A1:XFD1048576"/>
      <selection pane="bottomLeft" sqref="A1:XFD1048576"/>
      <selection pane="bottomRight" activeCell="H11" sqref="H11:I11"/>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175</v>
      </c>
    </row>
    <row r="2" spans="1:11">
      <c r="F2" s="27"/>
      <c r="I2" s="26" t="s">
        <v>77</v>
      </c>
    </row>
    <row r="3" spans="1:11">
      <c r="B3" s="64"/>
      <c r="F3" s="27"/>
    </row>
    <row r="4" spans="1:11">
      <c r="A4" s="79" t="s">
        <v>41</v>
      </c>
      <c r="B4" s="97"/>
      <c r="C4" s="97"/>
      <c r="D4" s="97"/>
      <c r="E4" s="97"/>
      <c r="F4" s="97"/>
      <c r="G4" s="97"/>
      <c r="H4" s="97"/>
      <c r="I4" s="97"/>
    </row>
    <row r="5" spans="1:11">
      <c r="A5" s="79" t="str">
        <f>Титульный!$C$12</f>
        <v>Челябинская ТЭЦ-1 (ТГ-10, ТГ-11) НВ</v>
      </c>
      <c r="B5" s="97"/>
      <c r="C5" s="97"/>
      <c r="D5" s="97"/>
      <c r="E5" s="97"/>
      <c r="F5" s="97"/>
      <c r="G5" s="97"/>
      <c r="H5" s="97"/>
      <c r="I5" s="97"/>
    </row>
    <row r="7" spans="1:11" s="3" customFormat="1" ht="32.25" customHeight="1">
      <c r="A7" s="101" t="s">
        <v>87</v>
      </c>
      <c r="B7" s="101" t="s">
        <v>9</v>
      </c>
      <c r="C7" s="101" t="s">
        <v>153</v>
      </c>
      <c r="D7" s="101" t="s">
        <v>173</v>
      </c>
      <c r="E7" s="101"/>
      <c r="F7" s="101" t="s">
        <v>150</v>
      </c>
      <c r="G7" s="101"/>
      <c r="H7" s="101" t="s">
        <v>151</v>
      </c>
      <c r="I7" s="101"/>
      <c r="K7" s="48"/>
    </row>
    <row r="8" spans="1:11" s="3" customFormat="1">
      <c r="A8" s="101"/>
      <c r="B8" s="101"/>
      <c r="C8" s="101"/>
      <c r="D8" s="42">
        <f>Титульный!$B$5-2</f>
        <v>2017</v>
      </c>
      <c r="E8" s="43" t="s">
        <v>68</v>
      </c>
      <c r="F8" s="42">
        <f>Титульный!$B$5-1</f>
        <v>2018</v>
      </c>
      <c r="G8" s="43" t="s">
        <v>68</v>
      </c>
      <c r="H8" s="42">
        <f>Титульный!$B$5</f>
        <v>2019</v>
      </c>
      <c r="I8" s="43" t="s">
        <v>68</v>
      </c>
      <c r="K8" s="48"/>
    </row>
    <row r="9" spans="1:11" s="3" customFormat="1">
      <c r="A9" s="101"/>
      <c r="B9" s="101"/>
      <c r="C9" s="101"/>
      <c r="D9" s="51" t="s">
        <v>22</v>
      </c>
      <c r="E9" s="51" t="s">
        <v>23</v>
      </c>
      <c r="F9" s="51" t="s">
        <v>22</v>
      </c>
      <c r="G9" s="51" t="s">
        <v>23</v>
      </c>
      <c r="H9" s="51" t="s">
        <v>22</v>
      </c>
      <c r="I9" s="51" t="s">
        <v>23</v>
      </c>
    </row>
    <row r="10" spans="1:11" ht="12.75" customHeight="1">
      <c r="A10" s="102" t="s">
        <v>170</v>
      </c>
      <c r="B10" s="103"/>
      <c r="C10" s="103"/>
      <c r="D10" s="103"/>
      <c r="E10" s="103"/>
      <c r="F10" s="103"/>
      <c r="G10" s="103"/>
      <c r="H10" s="103"/>
      <c r="I10" s="104"/>
    </row>
    <row r="11" spans="1:11" ht="12.75" customHeight="1">
      <c r="A11" s="50" t="s">
        <v>154</v>
      </c>
      <c r="B11" s="37" t="s">
        <v>155</v>
      </c>
      <c r="C11" s="36" t="s">
        <v>168</v>
      </c>
      <c r="D11" s="29">
        <f>'[7]Утв. тарифы на ЭЭ и ЭМ'!$E$14</f>
        <v>940.01</v>
      </c>
      <c r="E11" s="29">
        <f>'[7]Утв. тарифы на ЭЭ и ЭМ'!$F$14</f>
        <v>958.62</v>
      </c>
      <c r="F11" s="29">
        <f>E11</f>
        <v>958.62</v>
      </c>
      <c r="G11" s="29">
        <f>'[19]0.1'!$G$20</f>
        <v>991.15906665367686</v>
      </c>
      <c r="H11" s="105">
        <f>'[19]0.1'!$L$20</f>
        <v>727.84579817018891</v>
      </c>
      <c r="I11" s="106"/>
      <c r="K11" s="65" t="b">
        <f>ROUND([9]Лист1!$D$48,1)=ROUND(H11,1)</f>
        <v>1</v>
      </c>
    </row>
    <row r="12" spans="1:11" ht="12.75" customHeight="1">
      <c r="A12" s="50"/>
      <c r="B12" s="45" t="s">
        <v>171</v>
      </c>
      <c r="C12" s="36" t="s">
        <v>168</v>
      </c>
      <c r="D12" s="29">
        <f>('[5]ЧТЭЦ-1 НМ'!$F$255+'[5]ЧТЭЦ-1 НМ'!$G$255+'[5]ЧТЭЦ-1 НМ'!$H$255+'[5]ЧТЭЦ-1 НМ'!$J$255+'[5]ЧТЭЦ-1 НМ'!$K$255+'[5]ЧТЭЦ-1 НМ'!$L$255)/('[5]ЧТЭЦ-1 НМ'!$F$22+'[5]ЧТЭЦ-1 НМ'!$G$22+'[5]ЧТЭЦ-1 НМ'!$H$22+'[5]ЧТЭЦ-1 НМ'!$J$22+'[5]ЧТЭЦ-1 НМ'!$K$22+'[5]ЧТЭЦ-1 НМ'!$L$22)</f>
        <v>815.95136194787028</v>
      </c>
      <c r="E12" s="29">
        <f>('[5]ЧТЭЦ-1 НМ'!$N$255+'[5]ЧТЭЦ-1 НМ'!$O$255+'[5]ЧТЭЦ-1 НМ'!$P$255+'[5]ЧТЭЦ-1 НМ'!$R$255+'[5]ЧТЭЦ-1 НМ'!$S$255+'[5]ЧТЭЦ-1 НМ'!$T$255)/('[5]ЧТЭЦ-1 НМ'!$N$22+'[5]ЧТЭЦ-1 НМ'!$O$22+'[5]ЧТЭЦ-1 НМ'!$P$22+'[5]ЧТЭЦ-1 НМ'!$R$22+'[5]ЧТЭЦ-1 НМ'!$S$22+'[5]ЧТЭЦ-1 НМ'!$T$22)</f>
        <v>846.30127619625853</v>
      </c>
      <c r="F12" s="29">
        <f>'[19]2.2'!$G$170</f>
        <v>957.54169699950421</v>
      </c>
      <c r="G12" s="29">
        <f>'[19]2.1'!$G$170</f>
        <v>990.03898665367683</v>
      </c>
      <c r="H12" s="105">
        <f>'[19]2'!$G$170</f>
        <v>726.67435317018885</v>
      </c>
      <c r="I12" s="106"/>
    </row>
    <row r="13" spans="1:11" ht="12.75" customHeight="1">
      <c r="A13" s="50" t="s">
        <v>156</v>
      </c>
      <c r="B13" s="37" t="s">
        <v>157</v>
      </c>
      <c r="C13" s="36" t="s">
        <v>158</v>
      </c>
      <c r="D13" s="29">
        <f>'[7]Утв. тарифы на ЭЭ и ЭМ'!$G$14</f>
        <v>114104.98</v>
      </c>
      <c r="E13" s="29">
        <f>'[7]Утв. тарифы на ЭЭ и ЭМ'!$H$14</f>
        <v>118700.35</v>
      </c>
      <c r="F13" s="29">
        <f>E13</f>
        <v>118700.35</v>
      </c>
      <c r="G13" s="29">
        <f>'[19]0.1'!$H$21</f>
        <v>123448.36794763198</v>
      </c>
      <c r="H13" s="105">
        <f>'[19]0.1'!$L$21</f>
        <v>129003.37738887542</v>
      </c>
      <c r="I13" s="106"/>
      <c r="K13" s="65" t="b">
        <f>ROUND([9]Лист1!$E$48,1)=ROUND(H13,1)</f>
        <v>1</v>
      </c>
    </row>
    <row r="14" spans="1:11" ht="27.75" customHeight="1">
      <c r="A14" s="50" t="s">
        <v>159</v>
      </c>
      <c r="B14" s="37" t="s">
        <v>174</v>
      </c>
      <c r="C14" s="36" t="s">
        <v>47</v>
      </c>
      <c r="D14" s="105">
        <f>'ЧТЭЦ-1 ДМ_П5'!D14:E14</f>
        <v>641.93004009946117</v>
      </c>
      <c r="E14" s="106"/>
      <c r="F14" s="105">
        <f>'ЧТЭЦ-1 ДМ_П5'!F14:G14</f>
        <v>641.81403648616254</v>
      </c>
      <c r="G14" s="106"/>
      <c r="H14" s="105">
        <f>'ЧТЭЦ-1 ДМ_П5'!H14:I14</f>
        <v>971.98007895896069</v>
      </c>
      <c r="I14" s="106"/>
    </row>
    <row r="15" spans="1:11" ht="26.25" customHeight="1">
      <c r="A15" s="50" t="s">
        <v>160</v>
      </c>
      <c r="B15" s="46" t="s">
        <v>48</v>
      </c>
      <c r="C15" s="36" t="s">
        <v>47</v>
      </c>
      <c r="D15" s="29">
        <f>'ЧТЭЦ-1 ДМ_П5'!D15</f>
        <v>641.62</v>
      </c>
      <c r="E15" s="29">
        <f>'ЧТЭЦ-1 ДМ_П5'!E15</f>
        <v>641.62</v>
      </c>
      <c r="F15" s="29">
        <f>'ЧТЭЦ-1 ДМ_П5'!F15</f>
        <v>641.62</v>
      </c>
      <c r="G15" s="29">
        <f>'ЧТЭЦ-1 ДМ_П5'!G15</f>
        <v>641.62</v>
      </c>
      <c r="H15" s="105">
        <f>'ЧТЭЦ-1 ДМ_П5'!H15:I15</f>
        <v>971.50953804854021</v>
      </c>
      <c r="I15" s="106"/>
    </row>
    <row r="16" spans="1:11" ht="12.75" customHeight="1">
      <c r="A16" s="50" t="s">
        <v>161</v>
      </c>
      <c r="B16" s="46" t="s">
        <v>49</v>
      </c>
      <c r="C16" s="36" t="s">
        <v>47</v>
      </c>
      <c r="D16" s="44"/>
      <c r="E16" s="44"/>
      <c r="F16" s="44"/>
      <c r="G16" s="44"/>
      <c r="H16" s="44"/>
      <c r="I16" s="44"/>
    </row>
    <row r="17" spans="1:9" ht="12.75" customHeight="1">
      <c r="A17" s="50"/>
      <c r="B17" s="38" t="s">
        <v>50</v>
      </c>
      <c r="C17" s="36" t="s">
        <v>47</v>
      </c>
      <c r="D17" s="44"/>
      <c r="E17" s="44"/>
      <c r="F17" s="44"/>
      <c r="G17" s="44"/>
      <c r="H17" s="44"/>
      <c r="I17" s="44"/>
    </row>
    <row r="18" spans="1:9" ht="12.75" customHeight="1">
      <c r="A18" s="50"/>
      <c r="B18" s="38" t="s">
        <v>51</v>
      </c>
      <c r="C18" s="36" t="s">
        <v>47</v>
      </c>
      <c r="D18" s="44"/>
      <c r="E18" s="44"/>
      <c r="F18" s="44"/>
      <c r="G18" s="44"/>
      <c r="H18" s="44"/>
      <c r="I18" s="44"/>
    </row>
    <row r="19" spans="1:9" ht="12.75" customHeight="1">
      <c r="A19" s="50"/>
      <c r="B19" s="38" t="s">
        <v>52</v>
      </c>
      <c r="C19" s="36" t="s">
        <v>47</v>
      </c>
      <c r="D19" s="44"/>
      <c r="E19" s="44"/>
      <c r="F19" s="44"/>
      <c r="G19" s="44"/>
      <c r="H19" s="44"/>
      <c r="I19" s="44"/>
    </row>
    <row r="20" spans="1:9" ht="12.75" customHeight="1">
      <c r="A20" s="50"/>
      <c r="B20" s="38" t="s">
        <v>53</v>
      </c>
      <c r="C20" s="36" t="s">
        <v>47</v>
      </c>
      <c r="D20" s="44"/>
      <c r="E20" s="44"/>
      <c r="F20" s="44"/>
      <c r="G20" s="44"/>
      <c r="H20" s="44"/>
      <c r="I20" s="44"/>
    </row>
    <row r="21" spans="1:9" ht="12.75" customHeight="1">
      <c r="A21" s="50" t="s">
        <v>162</v>
      </c>
      <c r="B21" s="46" t="s">
        <v>54</v>
      </c>
      <c r="C21" s="36" t="s">
        <v>47</v>
      </c>
      <c r="D21" s="44"/>
      <c r="E21" s="44"/>
      <c r="F21" s="44"/>
      <c r="G21" s="44"/>
      <c r="H21" s="44"/>
      <c r="I21" s="44"/>
    </row>
    <row r="22" spans="1:9" ht="12.75" customHeight="1">
      <c r="A22" s="50" t="s">
        <v>163</v>
      </c>
      <c r="B22" s="37" t="s">
        <v>55</v>
      </c>
      <c r="C22" s="36" t="s">
        <v>32</v>
      </c>
      <c r="D22" s="44"/>
      <c r="E22" s="44"/>
      <c r="F22" s="44"/>
      <c r="G22" s="44"/>
      <c r="H22" s="44"/>
      <c r="I22" s="44"/>
    </row>
    <row r="23" spans="1:9" ht="25.5" customHeight="1">
      <c r="A23" s="50" t="s">
        <v>164</v>
      </c>
      <c r="B23" s="38" t="s">
        <v>56</v>
      </c>
      <c r="C23" s="50" t="s">
        <v>57</v>
      </c>
      <c r="D23" s="44"/>
      <c r="E23" s="44"/>
      <c r="F23" s="44"/>
      <c r="G23" s="44"/>
      <c r="H23" s="44"/>
      <c r="I23" s="44"/>
    </row>
    <row r="24" spans="1:9" ht="12.75" customHeight="1">
      <c r="A24" s="50" t="s">
        <v>165</v>
      </c>
      <c r="B24" s="46" t="s">
        <v>58</v>
      </c>
      <c r="C24" s="36" t="s">
        <v>47</v>
      </c>
      <c r="D24" s="44"/>
      <c r="E24" s="44"/>
      <c r="F24" s="44"/>
      <c r="G24" s="44"/>
      <c r="H24" s="44"/>
      <c r="I24" s="44"/>
    </row>
    <row r="25" spans="1:9" ht="12.75" customHeight="1">
      <c r="A25" s="50" t="s">
        <v>166</v>
      </c>
      <c r="B25" s="37" t="s">
        <v>59</v>
      </c>
      <c r="C25" s="36" t="s">
        <v>169</v>
      </c>
      <c r="D25" s="44"/>
      <c r="E25" s="44"/>
      <c r="F25" s="44"/>
      <c r="G25" s="44"/>
      <c r="H25" s="44"/>
      <c r="I25" s="44"/>
    </row>
    <row r="26" spans="1:9" ht="15" customHeight="1">
      <c r="A26" s="50"/>
      <c r="B26" s="38" t="s">
        <v>60</v>
      </c>
      <c r="C26" s="36" t="s">
        <v>169</v>
      </c>
      <c r="D26" s="44"/>
      <c r="E26" s="44"/>
      <c r="F26" s="44"/>
      <c r="G26" s="44"/>
      <c r="H26" s="44"/>
      <c r="I26" s="44"/>
    </row>
    <row r="27" spans="1:9">
      <c r="A27" s="50"/>
      <c r="B27" s="38" t="s">
        <v>61</v>
      </c>
      <c r="C27" s="36" t="s">
        <v>169</v>
      </c>
      <c r="D27" s="44"/>
      <c r="E27" s="44"/>
      <c r="F27" s="44"/>
      <c r="G27" s="44"/>
      <c r="H27" s="44"/>
      <c r="I27" s="44"/>
    </row>
    <row r="28" spans="1:9">
      <c r="A28" s="8"/>
      <c r="B28" s="33"/>
      <c r="C28" s="32"/>
      <c r="D28" s="33"/>
      <c r="E28" s="33"/>
      <c r="F28" s="33"/>
      <c r="G28" s="33"/>
      <c r="H28" s="33"/>
      <c r="I28" s="33"/>
    </row>
    <row r="29" spans="1:9">
      <c r="A29" s="98" t="s">
        <v>167</v>
      </c>
      <c r="B29" s="98"/>
      <c r="C29" s="98"/>
      <c r="D29" s="98"/>
      <c r="E29" s="98"/>
      <c r="F29" s="98"/>
      <c r="G29" s="98"/>
      <c r="H29" s="98"/>
      <c r="I29" s="98"/>
    </row>
    <row r="30" spans="1:9">
      <c r="A30" s="98" t="s">
        <v>172</v>
      </c>
      <c r="B30" s="98"/>
      <c r="C30" s="98"/>
      <c r="D30" s="98"/>
      <c r="E30" s="98"/>
      <c r="F30" s="98"/>
      <c r="G30" s="98"/>
      <c r="H30" s="98"/>
      <c r="I30" s="98"/>
    </row>
    <row r="31" spans="1:9">
      <c r="A31" s="98" t="s">
        <v>181</v>
      </c>
      <c r="B31" s="98"/>
      <c r="C31" s="98"/>
      <c r="D31" s="98"/>
      <c r="E31" s="98"/>
      <c r="F31" s="98"/>
      <c r="G31" s="98"/>
      <c r="H31" s="98"/>
      <c r="I31" s="98"/>
    </row>
    <row r="32" spans="1:9">
      <c r="A32" s="98" t="s">
        <v>182</v>
      </c>
      <c r="B32" s="98"/>
      <c r="C32" s="98"/>
      <c r="D32" s="98"/>
      <c r="E32" s="98"/>
      <c r="F32" s="98"/>
      <c r="G32" s="98"/>
      <c r="H32" s="98"/>
      <c r="I32" s="98"/>
    </row>
  </sheetData>
  <mergeCells count="20">
    <mergeCell ref="A31:I31"/>
    <mergeCell ref="A32:I32"/>
    <mergeCell ref="H15:I15"/>
    <mergeCell ref="A29:I29"/>
    <mergeCell ref="A30:I30"/>
    <mergeCell ref="A10:I10"/>
    <mergeCell ref="H11:I11"/>
    <mergeCell ref="H12:I12"/>
    <mergeCell ref="H13:I13"/>
    <mergeCell ref="D14:E14"/>
    <mergeCell ref="F14:G14"/>
    <mergeCell ref="H14:I14"/>
    <mergeCell ref="A4:I4"/>
    <mergeCell ref="A5:I5"/>
    <mergeCell ref="A7:A9"/>
    <mergeCell ref="B7:B9"/>
    <mergeCell ref="C7:C9"/>
    <mergeCell ref="D7:E7"/>
    <mergeCell ref="F7:G7"/>
    <mergeCell ref="H7:I7"/>
  </mergeCells>
  <conditionalFormatting sqref="K11">
    <cfRule type="containsText" dxfId="37" priority="3" operator="containsText" text="ложь">
      <formula>NOT(ISERROR(SEARCH("ложь",K11)))</formula>
    </cfRule>
    <cfRule type="containsText" dxfId="36" priority="4" operator="containsText" text="истина">
      <formula>NOT(ISERROR(SEARCH("истина",K11)))</formula>
    </cfRule>
  </conditionalFormatting>
  <conditionalFormatting sqref="K13">
    <cfRule type="containsText" dxfId="35" priority="1" operator="containsText" text="ложь">
      <formula>NOT(ISERROR(SEARCH("ложь",K13)))</formula>
    </cfRule>
    <cfRule type="containsText" dxfId="34" priority="2" operator="containsText" text="истина">
      <formula>NOT(ISERROR(SEARCH("истина",K13)))</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E50" sqref="E50"/>
      <selection pane="topRight" activeCell="E50" sqref="E50"/>
      <selection pane="bottomLeft" activeCell="E50" sqref="E50"/>
      <selection pane="bottomRight" activeCell="F50" sqref="F50"/>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176</v>
      </c>
    </row>
    <row r="2" spans="1:6">
      <c r="F2" s="34" t="s">
        <v>77</v>
      </c>
    </row>
    <row r="4" spans="1:6">
      <c r="A4" s="99" t="s">
        <v>39</v>
      </c>
      <c r="B4" s="99"/>
      <c r="C4" s="99"/>
      <c r="D4" s="99"/>
      <c r="E4" s="99"/>
      <c r="F4" s="99"/>
    </row>
    <row r="5" spans="1:6">
      <c r="A5" s="99" t="str">
        <f>Титульный!$C$13</f>
        <v>Челябинская ТЭЦ-2</v>
      </c>
      <c r="B5" s="99"/>
      <c r="C5" s="99"/>
      <c r="D5" s="99"/>
      <c r="E5" s="99"/>
      <c r="F5" s="99"/>
    </row>
    <row r="6" spans="1:6">
      <c r="A6" s="49"/>
      <c r="B6" s="49"/>
      <c r="C6" s="49"/>
      <c r="D6" s="49"/>
      <c r="E6" s="49"/>
      <c r="F6" s="49"/>
    </row>
    <row r="7" spans="1:6" s="8" customFormat="1" ht="38.25">
      <c r="A7" s="100" t="s">
        <v>1</v>
      </c>
      <c r="B7" s="100" t="s">
        <v>9</v>
      </c>
      <c r="C7" s="100" t="s">
        <v>10</v>
      </c>
      <c r="D7" s="50" t="s">
        <v>149</v>
      </c>
      <c r="E7" s="50" t="s">
        <v>150</v>
      </c>
      <c r="F7" s="50" t="s">
        <v>151</v>
      </c>
    </row>
    <row r="8" spans="1:6" s="8" customFormat="1">
      <c r="A8" s="100"/>
      <c r="B8" s="100"/>
      <c r="C8" s="100"/>
      <c r="D8" s="50">
        <f>Титульный!$B$5-2</f>
        <v>2017</v>
      </c>
      <c r="E8" s="50">
        <f>Титульный!$B$5-1</f>
        <v>2018</v>
      </c>
      <c r="F8" s="50">
        <f>Титульный!$B$5</f>
        <v>2019</v>
      </c>
    </row>
    <row r="9" spans="1:6" s="8" customFormat="1">
      <c r="A9" s="100"/>
      <c r="B9" s="100"/>
      <c r="C9" s="100"/>
      <c r="D9" s="50" t="s">
        <v>68</v>
      </c>
      <c r="E9" s="50" t="s">
        <v>68</v>
      </c>
      <c r="F9" s="50" t="s">
        <v>68</v>
      </c>
    </row>
    <row r="10" spans="1:6">
      <c r="A10" s="36" t="s">
        <v>88</v>
      </c>
      <c r="B10" s="37" t="s">
        <v>33</v>
      </c>
      <c r="C10" s="36" t="s">
        <v>35</v>
      </c>
      <c r="D10" s="29">
        <f>[21]Год!$H$11</f>
        <v>320</v>
      </c>
      <c r="E10" s="29">
        <f>'[22]0.1'!$I$11</f>
        <v>320</v>
      </c>
      <c r="F10" s="29">
        <f>'[22]0.1'!$L$11</f>
        <v>320</v>
      </c>
    </row>
    <row r="11" spans="1:6" ht="38.25">
      <c r="A11" s="36" t="s">
        <v>89</v>
      </c>
      <c r="B11" s="37" t="s">
        <v>34</v>
      </c>
      <c r="C11" s="36" t="s">
        <v>35</v>
      </c>
      <c r="D11" s="29">
        <f>[21]Год!$H$12-[21]Год!$H$14</f>
        <v>293.81054414149173</v>
      </c>
      <c r="E11" s="29">
        <f>'[22]0.1'!$I$12</f>
        <v>292.32064281166669</v>
      </c>
      <c r="F11" s="29">
        <f>'[22]0.1'!$L$12</f>
        <v>292.65328767707797</v>
      </c>
    </row>
    <row r="12" spans="1:6">
      <c r="A12" s="36" t="s">
        <v>90</v>
      </c>
      <c r="B12" s="37" t="s">
        <v>91</v>
      </c>
      <c r="C12" s="36" t="s">
        <v>152</v>
      </c>
      <c r="D12" s="29">
        <f>'[5]ЧТЭЦ-2'!$E$7</f>
        <v>1679.18</v>
      </c>
      <c r="E12" s="29">
        <f>'[22]0.1'!$I$13</f>
        <v>2018.5041000000001</v>
      </c>
      <c r="F12" s="29">
        <f>'[22]0.1'!$L$13</f>
        <v>2018.5000000000002</v>
      </c>
    </row>
    <row r="13" spans="1:6">
      <c r="A13" s="36" t="s">
        <v>92</v>
      </c>
      <c r="B13" s="37" t="s">
        <v>93</v>
      </c>
      <c r="C13" s="36" t="s">
        <v>152</v>
      </c>
      <c r="D13" s="29">
        <f>'[5]ЧТЭЦ-2'!$E$22</f>
        <v>1455.2745960000002</v>
      </c>
      <c r="E13" s="29">
        <f>'[22]0.1'!$I$15</f>
        <v>1785.3774000000001</v>
      </c>
      <c r="F13" s="29">
        <f>'[22]0.1'!$L$15</f>
        <v>1779.2930000000001</v>
      </c>
    </row>
    <row r="14" spans="1:6">
      <c r="A14" s="36" t="s">
        <v>94</v>
      </c>
      <c r="B14" s="37" t="s">
        <v>95</v>
      </c>
      <c r="C14" s="36" t="s">
        <v>96</v>
      </c>
      <c r="D14" s="29">
        <f>'[5]ЧТЭЦ-2'!$E$23</f>
        <v>2148.7290000000003</v>
      </c>
      <c r="E14" s="29">
        <f>'[22]0.1'!$I$16</f>
        <v>2209.6379999999999</v>
      </c>
      <c r="F14" s="29">
        <f>'[22]0.1'!$L$16</f>
        <v>2146.1390000000001</v>
      </c>
    </row>
    <row r="15" spans="1:6">
      <c r="A15" s="36" t="s">
        <v>97</v>
      </c>
      <c r="B15" s="37" t="s">
        <v>98</v>
      </c>
      <c r="C15" s="36" t="s">
        <v>96</v>
      </c>
      <c r="D15" s="29">
        <f>'[5]ЧТЭЦ-2'!$E$26</f>
        <v>2138.1362000000004</v>
      </c>
      <c r="E15" s="29">
        <f>'[22]0.1'!$I$17</f>
        <v>2199.9304999999999</v>
      </c>
      <c r="F15" s="29">
        <f>'[22]0.1'!$L$17</f>
        <v>2135.3450000000003</v>
      </c>
    </row>
    <row r="16" spans="1:6">
      <c r="A16" s="36" t="s">
        <v>99</v>
      </c>
      <c r="B16" s="37" t="s">
        <v>11</v>
      </c>
      <c r="C16" s="36" t="s">
        <v>100</v>
      </c>
      <c r="D16" s="40"/>
      <c r="E16" s="29">
        <f>'[22]0.1'!$I$43</f>
        <v>2463258.8573459941</v>
      </c>
      <c r="F16" s="29">
        <f>'[22]0.1'!$L$43</f>
        <v>2687980.7472669156</v>
      </c>
    </row>
    <row r="17" spans="1:8">
      <c r="A17" s="36" t="s">
        <v>101</v>
      </c>
      <c r="B17" s="38" t="s">
        <v>14</v>
      </c>
      <c r="C17" s="36" t="s">
        <v>100</v>
      </c>
      <c r="D17" s="40"/>
      <c r="E17" s="29">
        <f>'[22]0.1'!$G$43</f>
        <v>1413963.0286889144</v>
      </c>
      <c r="F17" s="29">
        <f>'[22]0.1'!$J$43</f>
        <v>1589918.119018286</v>
      </c>
    </row>
    <row r="18" spans="1:8">
      <c r="A18" s="36" t="s">
        <v>102</v>
      </c>
      <c r="B18" s="38" t="s">
        <v>15</v>
      </c>
      <c r="C18" s="36" t="s">
        <v>100</v>
      </c>
      <c r="D18" s="40"/>
      <c r="E18" s="29">
        <f>'[22]0.1'!$H$43</f>
        <v>1049295.8286570797</v>
      </c>
      <c r="F18" s="29">
        <f>'[22]0.1'!$K$43</f>
        <v>1098062.6282486299</v>
      </c>
    </row>
    <row r="19" spans="1:8" ht="25.5">
      <c r="A19" s="36" t="s">
        <v>103</v>
      </c>
      <c r="B19" s="38" t="s">
        <v>16</v>
      </c>
      <c r="C19" s="36" t="s">
        <v>100</v>
      </c>
      <c r="D19" s="41"/>
      <c r="E19" s="41"/>
      <c r="F19" s="41"/>
    </row>
    <row r="20" spans="1:8">
      <c r="A20" s="36" t="s">
        <v>104</v>
      </c>
      <c r="B20" s="37" t="s">
        <v>105</v>
      </c>
      <c r="C20" s="36" t="s">
        <v>100</v>
      </c>
      <c r="D20" s="29">
        <f>'[5]ЧТЭЦ-2'!$E$235</f>
        <v>2029655.6237900001</v>
      </c>
      <c r="E20" s="29">
        <f>'[22]0.1'!$I$31</f>
        <v>2539220.2641363069</v>
      </c>
      <c r="F20" s="29">
        <f>'[22]0.1'!$L$31</f>
        <v>2743906.796769042</v>
      </c>
      <c r="G20" s="47"/>
      <c r="H20" s="47"/>
    </row>
    <row r="21" spans="1:8">
      <c r="A21" s="36" t="s">
        <v>106</v>
      </c>
      <c r="B21" s="38" t="s">
        <v>107</v>
      </c>
      <c r="C21" s="36" t="s">
        <v>100</v>
      </c>
      <c r="D21" s="29">
        <f>'[5]ЧТЭЦ-2'!$E$255</f>
        <v>1025858.83991</v>
      </c>
      <c r="E21" s="29">
        <f>'[22]0.1'!$I$32</f>
        <v>1401024.568177748</v>
      </c>
      <c r="F21" s="29">
        <f>'[22]0.1'!$L$32</f>
        <v>1576441.7944290757</v>
      </c>
      <c r="G21" s="47"/>
      <c r="H21" s="47"/>
    </row>
    <row r="22" spans="1:8" ht="25.5">
      <c r="A22" s="36"/>
      <c r="B22" s="38" t="s">
        <v>108</v>
      </c>
      <c r="C22" s="36" t="s">
        <v>36</v>
      </c>
      <c r="D22" s="29">
        <f>'[5]ЧТЭЦ-2'!$E$31</f>
        <v>278.16446004845261</v>
      </c>
      <c r="E22" s="29">
        <f>'[22]4'!$L$24</f>
        <v>260.10000000000002</v>
      </c>
      <c r="F22" s="29">
        <f>'[22]4'!$M$24</f>
        <v>278.58</v>
      </c>
      <c r="G22" s="47"/>
      <c r="H22" s="47"/>
    </row>
    <row r="23" spans="1:8">
      <c r="A23" s="36" t="s">
        <v>109</v>
      </c>
      <c r="B23" s="38" t="s">
        <v>110</v>
      </c>
      <c r="C23" s="36" t="s">
        <v>100</v>
      </c>
      <c r="D23" s="29">
        <f>'[5]ЧТЭЦ-2'!$E$254</f>
        <v>1003796.7838799999</v>
      </c>
      <c r="E23" s="29">
        <f>'[22]0.1'!$I$33</f>
        <v>1138195.6959585589</v>
      </c>
      <c r="F23" s="29">
        <f>'[22]0.1'!$L$33</f>
        <v>1167465.0023399664</v>
      </c>
    </row>
    <row r="24" spans="1:8">
      <c r="A24" s="36"/>
      <c r="B24" s="38" t="s">
        <v>111</v>
      </c>
      <c r="C24" s="36" t="s">
        <v>112</v>
      </c>
      <c r="D24" s="29">
        <f>'[5]ЧТЭЦ-2'!$E$36</f>
        <v>172.79284637569461</v>
      </c>
      <c r="E24" s="29">
        <f>'[22]4'!$L$28</f>
        <v>171.6</v>
      </c>
      <c r="F24" s="29">
        <f>'[22]4'!$M$28</f>
        <v>172.56</v>
      </c>
    </row>
    <row r="25" spans="1:8" ht="25.5">
      <c r="A25" s="36"/>
      <c r="B25" s="9" t="s">
        <v>113</v>
      </c>
      <c r="C25" s="36" t="s">
        <v>32</v>
      </c>
      <c r="D25" s="50" t="s">
        <v>195</v>
      </c>
      <c r="E25" s="50" t="s">
        <v>195</v>
      </c>
      <c r="F25" s="41"/>
    </row>
    <row r="26" spans="1:8">
      <c r="A26" s="36" t="s">
        <v>114</v>
      </c>
      <c r="B26" s="9" t="s">
        <v>17</v>
      </c>
      <c r="C26" s="36" t="s">
        <v>100</v>
      </c>
      <c r="D26" s="41"/>
      <c r="E26" s="41"/>
      <c r="F26" s="41"/>
    </row>
    <row r="27" spans="1:8" ht="25.5">
      <c r="A27" s="36" t="s">
        <v>115</v>
      </c>
      <c r="B27" s="9" t="s">
        <v>12</v>
      </c>
      <c r="C27" s="36" t="s">
        <v>32</v>
      </c>
      <c r="D27" s="41"/>
      <c r="E27" s="41"/>
      <c r="F27" s="41"/>
    </row>
    <row r="28" spans="1:8">
      <c r="A28" s="36" t="s">
        <v>116</v>
      </c>
      <c r="B28" s="38" t="s">
        <v>117</v>
      </c>
      <c r="C28" s="36" t="s">
        <v>118</v>
      </c>
      <c r="D28" s="41"/>
      <c r="E28" s="41"/>
      <c r="F28" s="41"/>
    </row>
    <row r="29" spans="1:8" ht="25.5">
      <c r="A29" s="39" t="s">
        <v>119</v>
      </c>
      <c r="B29" s="38" t="s">
        <v>120</v>
      </c>
      <c r="C29" s="50" t="s">
        <v>121</v>
      </c>
      <c r="D29" s="41"/>
      <c r="E29" s="41"/>
      <c r="F29" s="41"/>
    </row>
    <row r="30" spans="1:8" ht="25.5">
      <c r="A30" s="36" t="s">
        <v>122</v>
      </c>
      <c r="B30" s="38" t="s">
        <v>123</v>
      </c>
      <c r="C30" s="36" t="s">
        <v>32</v>
      </c>
      <c r="D30" s="41"/>
      <c r="E30" s="41"/>
      <c r="F30" s="41"/>
    </row>
    <row r="31" spans="1:8">
      <c r="A31" s="36" t="s">
        <v>124</v>
      </c>
      <c r="B31" s="9" t="s">
        <v>125</v>
      </c>
      <c r="C31" s="36" t="s">
        <v>100</v>
      </c>
      <c r="D31" s="29">
        <f>'[6]ЧТЭЦ-2'!$E$12/1000</f>
        <v>3637328.9087599996</v>
      </c>
      <c r="E31" s="41"/>
      <c r="F31" s="41"/>
    </row>
    <row r="32" spans="1:8">
      <c r="A32" s="36" t="s">
        <v>126</v>
      </c>
      <c r="B32" s="38" t="s">
        <v>18</v>
      </c>
      <c r="C32" s="36" t="s">
        <v>100</v>
      </c>
      <c r="D32" s="29">
        <f>'[6]ЧТЭЦ-2'!$J$12/1000</f>
        <v>1323525.0635499998</v>
      </c>
      <c r="E32" s="41"/>
      <c r="F32" s="41"/>
    </row>
    <row r="33" spans="1:6">
      <c r="A33" s="36" t="s">
        <v>127</v>
      </c>
      <c r="B33" s="38" t="s">
        <v>19</v>
      </c>
      <c r="C33" s="36" t="s">
        <v>100</v>
      </c>
      <c r="D33" s="29">
        <f>'[6]ЧТЭЦ-2'!$R$12/1000</f>
        <v>752040.81461999984</v>
      </c>
      <c r="E33" s="41"/>
      <c r="F33" s="41"/>
    </row>
    <row r="34" spans="1:6" ht="25.5">
      <c r="A34" s="36" t="s">
        <v>128</v>
      </c>
      <c r="B34" s="38" t="s">
        <v>20</v>
      </c>
      <c r="C34" s="36" t="s">
        <v>100</v>
      </c>
      <c r="D34" s="29">
        <f>'[6]ЧТЭЦ-2'!$Z$12/1000</f>
        <v>1533495.2114899997</v>
      </c>
      <c r="E34" s="41"/>
      <c r="F34" s="41"/>
    </row>
    <row r="35" spans="1:6">
      <c r="A35" s="36" t="s">
        <v>179</v>
      </c>
      <c r="B35" s="38" t="s">
        <v>180</v>
      </c>
      <c r="C35" s="36" t="s">
        <v>100</v>
      </c>
      <c r="D35" s="29">
        <f>('[6]ЧТЭЦ-2'!$AP$12+'[6]ЧТЭЦ-2'!$AT$12+'[6]ЧТЭЦ-2'!$AX$12)/1000</f>
        <v>28267.819100000001</v>
      </c>
      <c r="E35" s="41"/>
      <c r="F35" s="41"/>
    </row>
    <row r="36" spans="1:6">
      <c r="A36" s="36" t="s">
        <v>129</v>
      </c>
      <c r="B36" s="9" t="s">
        <v>130</v>
      </c>
      <c r="C36" s="36" t="s">
        <v>100</v>
      </c>
      <c r="D36" s="41"/>
      <c r="E36" s="41"/>
      <c r="F36" s="41"/>
    </row>
    <row r="37" spans="1:6">
      <c r="A37" s="36" t="s">
        <v>131</v>
      </c>
      <c r="B37" s="38" t="s">
        <v>21</v>
      </c>
      <c r="C37" s="36" t="s">
        <v>100</v>
      </c>
      <c r="D37" s="41"/>
      <c r="E37" s="41"/>
      <c r="F37" s="41"/>
    </row>
    <row r="38" spans="1:6">
      <c r="A38" s="36" t="s">
        <v>132</v>
      </c>
      <c r="B38" s="38" t="s">
        <v>40</v>
      </c>
      <c r="C38" s="36" t="s">
        <v>100</v>
      </c>
      <c r="D38" s="41"/>
      <c r="E38" s="41"/>
      <c r="F38" s="41"/>
    </row>
    <row r="39" spans="1:6">
      <c r="A39" s="36" t="s">
        <v>133</v>
      </c>
      <c r="B39" s="9" t="s">
        <v>134</v>
      </c>
      <c r="C39" s="36" t="s">
        <v>100</v>
      </c>
      <c r="D39" s="41"/>
      <c r="E39" s="41"/>
      <c r="F39" s="41"/>
    </row>
    <row r="40" spans="1:6">
      <c r="A40" s="36" t="s">
        <v>135</v>
      </c>
      <c r="B40" s="38" t="s">
        <v>18</v>
      </c>
      <c r="C40" s="36" t="s">
        <v>100</v>
      </c>
      <c r="D40" s="41"/>
      <c r="E40" s="41"/>
      <c r="F40" s="41"/>
    </row>
    <row r="41" spans="1:6">
      <c r="A41" s="36" t="s">
        <v>136</v>
      </c>
      <c r="B41" s="38" t="s">
        <v>19</v>
      </c>
      <c r="C41" s="36" t="s">
        <v>100</v>
      </c>
      <c r="D41" s="41"/>
      <c r="E41" s="41"/>
      <c r="F41" s="41"/>
    </row>
    <row r="42" spans="1:6" ht="25.5">
      <c r="A42" s="36" t="s">
        <v>137</v>
      </c>
      <c r="B42" s="38" t="s">
        <v>20</v>
      </c>
      <c r="C42" s="36" t="s">
        <v>100</v>
      </c>
      <c r="D42" s="41"/>
      <c r="E42" s="41"/>
      <c r="F42" s="41"/>
    </row>
    <row r="43" spans="1:6" ht="25.5">
      <c r="A43" s="36" t="s">
        <v>138</v>
      </c>
      <c r="B43" s="9" t="s">
        <v>139</v>
      </c>
      <c r="C43" s="36" t="s">
        <v>100</v>
      </c>
      <c r="D43" s="41"/>
      <c r="E43" s="41"/>
      <c r="F43" s="41"/>
    </row>
    <row r="44" spans="1:6">
      <c r="A44" s="36" t="s">
        <v>140</v>
      </c>
      <c r="B44" s="38" t="s">
        <v>18</v>
      </c>
      <c r="C44" s="36" t="s">
        <v>100</v>
      </c>
      <c r="D44" s="41"/>
      <c r="E44" s="41"/>
      <c r="F44" s="41"/>
    </row>
    <row r="45" spans="1:6">
      <c r="A45" s="36" t="s">
        <v>141</v>
      </c>
      <c r="B45" s="38" t="s">
        <v>19</v>
      </c>
      <c r="C45" s="36" t="s">
        <v>100</v>
      </c>
      <c r="D45" s="41"/>
      <c r="E45" s="41"/>
      <c r="F45" s="41"/>
    </row>
    <row r="46" spans="1:6" ht="25.5">
      <c r="A46" s="36" t="s">
        <v>142</v>
      </c>
      <c r="B46" s="38" t="s">
        <v>20</v>
      </c>
      <c r="C46" s="36" t="s">
        <v>100</v>
      </c>
      <c r="D46" s="41"/>
      <c r="E46" s="41"/>
      <c r="F46" s="41"/>
    </row>
    <row r="47" spans="1:6">
      <c r="A47" s="36" t="s">
        <v>143</v>
      </c>
      <c r="B47" s="9" t="s">
        <v>178</v>
      </c>
      <c r="C47" s="36" t="s">
        <v>100</v>
      </c>
      <c r="D47" s="52">
        <v>12200091</v>
      </c>
      <c r="E47" s="41"/>
      <c r="F47" s="41"/>
    </row>
    <row r="48" spans="1:6" ht="25.5">
      <c r="A48" s="36" t="s">
        <v>144</v>
      </c>
      <c r="B48" s="9" t="s">
        <v>177</v>
      </c>
      <c r="C48" s="36" t="s">
        <v>145</v>
      </c>
      <c r="D48" s="31">
        <f>19896480/65281414</f>
        <v>0.30478016300320948</v>
      </c>
      <c r="E48" s="41"/>
      <c r="F48" s="41"/>
    </row>
    <row r="49" spans="1:6" ht="229.5">
      <c r="A49" s="36" t="s">
        <v>146</v>
      </c>
      <c r="B49" s="9" t="s">
        <v>13</v>
      </c>
      <c r="C49" s="36" t="s">
        <v>32</v>
      </c>
      <c r="D49" s="9" t="s">
        <v>197</v>
      </c>
      <c r="E49" s="9" t="s">
        <v>200</v>
      </c>
      <c r="F49" s="9" t="s">
        <v>147</v>
      </c>
    </row>
    <row r="50" spans="1:6">
      <c r="B50" s="8"/>
    </row>
    <row r="51" spans="1:6">
      <c r="A51" s="98" t="s">
        <v>148</v>
      </c>
      <c r="B51" s="98"/>
      <c r="C51" s="98"/>
      <c r="D51" s="98"/>
      <c r="E51" s="98"/>
      <c r="F51" s="98"/>
    </row>
    <row r="52" spans="1:6">
      <c r="A52" s="98" t="s">
        <v>186</v>
      </c>
      <c r="B52" s="98"/>
      <c r="C52" s="98"/>
      <c r="D52" s="98"/>
      <c r="E52" s="98"/>
      <c r="F52" s="98"/>
    </row>
  </sheetData>
  <mergeCells count="7">
    <mergeCell ref="A51:F51"/>
    <mergeCell ref="A52:F52"/>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activeCell="D10" sqref="D10"/>
      <selection pane="topRight" activeCell="D10" sqref="D10"/>
      <selection pane="bottomLeft" activeCell="D10" sqref="D10"/>
      <selection pane="bottomRight" activeCell="H11" sqref="H11:I11"/>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175</v>
      </c>
    </row>
    <row r="2" spans="1:11">
      <c r="F2" s="27"/>
      <c r="I2" s="26" t="s">
        <v>77</v>
      </c>
    </row>
    <row r="3" spans="1:11">
      <c r="B3" s="64"/>
      <c r="F3" s="27"/>
    </row>
    <row r="4" spans="1:11">
      <c r="A4" s="79" t="s">
        <v>41</v>
      </c>
      <c r="B4" s="97"/>
      <c r="C4" s="97"/>
      <c r="D4" s="97"/>
      <c r="E4" s="97"/>
      <c r="F4" s="97"/>
      <c r="G4" s="97"/>
      <c r="H4" s="97"/>
      <c r="I4" s="97"/>
    </row>
    <row r="5" spans="1:11">
      <c r="A5" s="79" t="str">
        <f>Титульный!$C$13</f>
        <v>Челябинская ТЭЦ-2</v>
      </c>
      <c r="B5" s="97"/>
      <c r="C5" s="97"/>
      <c r="D5" s="97"/>
      <c r="E5" s="97"/>
      <c r="F5" s="97"/>
      <c r="G5" s="97"/>
      <c r="H5" s="97"/>
      <c r="I5" s="97"/>
    </row>
    <row r="7" spans="1:11" s="3" customFormat="1" ht="32.25" customHeight="1">
      <c r="A7" s="101" t="s">
        <v>87</v>
      </c>
      <c r="B7" s="101" t="s">
        <v>9</v>
      </c>
      <c r="C7" s="101" t="s">
        <v>153</v>
      </c>
      <c r="D7" s="101" t="s">
        <v>173</v>
      </c>
      <c r="E7" s="101"/>
      <c r="F7" s="101" t="s">
        <v>150</v>
      </c>
      <c r="G7" s="101"/>
      <c r="H7" s="101" t="s">
        <v>151</v>
      </c>
      <c r="I7" s="101"/>
      <c r="K7" s="48"/>
    </row>
    <row r="8" spans="1:11" s="3" customFormat="1">
      <c r="A8" s="101"/>
      <c r="B8" s="101"/>
      <c r="C8" s="101"/>
      <c r="D8" s="42">
        <f>Титульный!$B$5-2</f>
        <v>2017</v>
      </c>
      <c r="E8" s="43" t="s">
        <v>68</v>
      </c>
      <c r="F8" s="42">
        <f>Титульный!$B$5-1</f>
        <v>2018</v>
      </c>
      <c r="G8" s="43" t="s">
        <v>68</v>
      </c>
      <c r="H8" s="42">
        <f>Титульный!$B$5</f>
        <v>2019</v>
      </c>
      <c r="I8" s="43" t="s">
        <v>68</v>
      </c>
      <c r="K8" s="48"/>
    </row>
    <row r="9" spans="1:11" s="3" customFormat="1">
      <c r="A9" s="101"/>
      <c r="B9" s="101"/>
      <c r="C9" s="101"/>
      <c r="D9" s="51" t="s">
        <v>22</v>
      </c>
      <c r="E9" s="51" t="s">
        <v>23</v>
      </c>
      <c r="F9" s="51" t="s">
        <v>22</v>
      </c>
      <c r="G9" s="51" t="s">
        <v>23</v>
      </c>
      <c r="H9" s="51" t="s">
        <v>22</v>
      </c>
      <c r="I9" s="51" t="s">
        <v>23</v>
      </c>
    </row>
    <row r="10" spans="1:11" ht="12.75" customHeight="1">
      <c r="A10" s="102" t="s">
        <v>170</v>
      </c>
      <c r="B10" s="103"/>
      <c r="C10" s="103"/>
      <c r="D10" s="103"/>
      <c r="E10" s="103"/>
      <c r="F10" s="103"/>
      <c r="G10" s="103"/>
      <c r="H10" s="103"/>
      <c r="I10" s="104"/>
    </row>
    <row r="11" spans="1:11" ht="12.75" customHeight="1">
      <c r="A11" s="50" t="s">
        <v>154</v>
      </c>
      <c r="B11" s="37" t="s">
        <v>155</v>
      </c>
      <c r="C11" s="36" t="s">
        <v>168</v>
      </c>
      <c r="D11" s="29">
        <f>'[7]Утв. тарифы на ЭЭ и ЭМ'!$E$15</f>
        <v>754.57</v>
      </c>
      <c r="E11" s="29">
        <f>'[7]Утв. тарифы на ЭЭ и ЭМ'!$F$15</f>
        <v>771.1</v>
      </c>
      <c r="F11" s="29">
        <f>E11</f>
        <v>771.1</v>
      </c>
      <c r="G11" s="29">
        <f>'[8]Утв. тарифы на ЭЭ и ЭМ'!$E$15</f>
        <v>791.96</v>
      </c>
      <c r="H11" s="105">
        <f>'[22]0.1'!$L$20</f>
        <v>893.56734333147267</v>
      </c>
      <c r="I11" s="106"/>
      <c r="K11" s="65" t="b">
        <f>ROUND([9]Лист1!$D$62,1)=ROUND(H11,1)</f>
        <v>1</v>
      </c>
    </row>
    <row r="12" spans="1:11" ht="12.75" customHeight="1">
      <c r="A12" s="50"/>
      <c r="B12" s="45" t="s">
        <v>171</v>
      </c>
      <c r="C12" s="36" t="s">
        <v>168</v>
      </c>
      <c r="D12" s="29">
        <f>('[5]ЧТЭЦ-2'!$F$255+'[5]ЧТЭЦ-2'!$G$255+'[5]ЧТЭЦ-2'!$H$255+'[5]ЧТЭЦ-2'!$J$255+'[5]ЧТЭЦ-2'!$K$255+'[5]ЧТЭЦ-2'!$L$255)/('[5]ЧТЭЦ-2'!$F$22+'[5]ЧТЭЦ-2'!$G$22+'[5]ЧТЭЦ-2'!$H$22+'[5]ЧТЭЦ-2'!$J$22+'[5]ЧТЭЦ-2'!$K$22+'[5]ЧТЭЦ-2'!$L$22)</f>
        <v>654.62680359461513</v>
      </c>
      <c r="E12" s="29">
        <f>('[5]ЧТЭЦ-2'!$N$255+'[5]ЧТЭЦ-2'!$O$255+'[5]ЧТЭЦ-2'!$P$255+'[5]ЧТЭЦ-2'!$R$255+'[5]ЧТЭЦ-2'!$S$255+'[5]ЧТЭЦ-2'!$T$255)/('[5]ЧТЭЦ-2'!$N$22+'[5]ЧТЭЦ-2'!$O$22+'[5]ЧТЭЦ-2'!$P$22+'[5]ЧТЭЦ-2'!$R$22+'[5]ЧТЭЦ-2'!$S$22+'[5]ЧТЭЦ-2'!$T$22)</f>
        <v>764.57282082972927</v>
      </c>
      <c r="F12" s="29">
        <f>'[22]2.2'!$G$181</f>
        <v>764.13673035402974</v>
      </c>
      <c r="G12" s="29">
        <f>'[22]2.1'!$G$181</f>
        <v>784.72180065556324</v>
      </c>
      <c r="H12" s="105">
        <f>'[22]2'!$G$181</f>
        <v>885.99336614547212</v>
      </c>
      <c r="I12" s="106"/>
    </row>
    <row r="13" spans="1:11" ht="12.75" customHeight="1">
      <c r="A13" s="50" t="s">
        <v>156</v>
      </c>
      <c r="B13" s="37" t="s">
        <v>157</v>
      </c>
      <c r="C13" s="36" t="s">
        <v>158</v>
      </c>
      <c r="D13" s="29">
        <f>'[7]Утв. тарифы на ЭЭ и ЭМ'!$G$15</f>
        <v>273865.03999999998</v>
      </c>
      <c r="E13" s="29">
        <f>'[7]Утв. тарифы на ЭЭ и ЭМ'!$H$15</f>
        <v>287542.78000000003</v>
      </c>
      <c r="F13" s="29">
        <f>E13</f>
        <v>287542.78000000003</v>
      </c>
      <c r="G13" s="29">
        <f>'[22]0.1'!$H$21</f>
        <v>299128.10198317887</v>
      </c>
      <c r="H13" s="105">
        <f>'[22]0.1'!$L$21</f>
        <v>312674.49529454339</v>
      </c>
      <c r="I13" s="106"/>
      <c r="K13" s="65" t="b">
        <f>ROUND([9]Лист1!$E$62,1)=ROUND(H13,1)</f>
        <v>1</v>
      </c>
    </row>
    <row r="14" spans="1:11" ht="27.75" customHeight="1">
      <c r="A14" s="50" t="s">
        <v>159</v>
      </c>
      <c r="B14" s="37" t="s">
        <v>174</v>
      </c>
      <c r="C14" s="36" t="s">
        <v>47</v>
      </c>
      <c r="D14" s="105">
        <f>'ЧТЭЦ-1 ДМ_П5'!D14:E14</f>
        <v>641.93004009946117</v>
      </c>
      <c r="E14" s="106"/>
      <c r="F14" s="105">
        <f>'ЧТЭЦ-1 ДМ_П5'!F14:G14</f>
        <v>641.81403648616254</v>
      </c>
      <c r="G14" s="106"/>
      <c r="H14" s="105">
        <f>'ЧТЭЦ-1 ДМ_П5'!H14:I14</f>
        <v>971.98007895896069</v>
      </c>
      <c r="I14" s="106"/>
    </row>
    <row r="15" spans="1:11" ht="26.25" customHeight="1">
      <c r="A15" s="50" t="s">
        <v>160</v>
      </c>
      <c r="B15" s="46" t="s">
        <v>48</v>
      </c>
      <c r="C15" s="36" t="s">
        <v>47</v>
      </c>
      <c r="D15" s="29">
        <f>'ЧТЭЦ-1 ДМ_П5'!D15</f>
        <v>641.62</v>
      </c>
      <c r="E15" s="29">
        <f>'ЧТЭЦ-1 ДМ_П5'!E15</f>
        <v>641.62</v>
      </c>
      <c r="F15" s="29">
        <f>'ЧТЭЦ-1 ДМ_П5'!F15</f>
        <v>641.62</v>
      </c>
      <c r="G15" s="29">
        <f>'ЧТЭЦ-1 ДМ_П5'!G15</f>
        <v>641.62</v>
      </c>
      <c r="H15" s="105">
        <f>'ЧТЭЦ-1 ДМ_П5'!H15:I15</f>
        <v>971.50953804854021</v>
      </c>
      <c r="I15" s="106"/>
    </row>
    <row r="16" spans="1:11" ht="12.75" customHeight="1">
      <c r="A16" s="50" t="s">
        <v>161</v>
      </c>
      <c r="B16" s="46" t="s">
        <v>49</v>
      </c>
      <c r="C16" s="36" t="s">
        <v>47</v>
      </c>
      <c r="D16" s="44"/>
      <c r="E16" s="44"/>
      <c r="F16" s="44"/>
      <c r="G16" s="44"/>
      <c r="H16" s="44"/>
      <c r="I16" s="44"/>
    </row>
    <row r="17" spans="1:9" ht="12.75" customHeight="1">
      <c r="A17" s="50"/>
      <c r="B17" s="38" t="s">
        <v>50</v>
      </c>
      <c r="C17" s="36" t="s">
        <v>47</v>
      </c>
      <c r="D17" s="44"/>
      <c r="E17" s="44"/>
      <c r="F17" s="44"/>
      <c r="G17" s="44"/>
      <c r="H17" s="44"/>
      <c r="I17" s="44"/>
    </row>
    <row r="18" spans="1:9" ht="12.75" customHeight="1">
      <c r="A18" s="50"/>
      <c r="B18" s="38" t="s">
        <v>51</v>
      </c>
      <c r="C18" s="36" t="s">
        <v>47</v>
      </c>
      <c r="D18" s="44"/>
      <c r="E18" s="44"/>
      <c r="F18" s="44"/>
      <c r="G18" s="44"/>
      <c r="H18" s="44"/>
      <c r="I18" s="44"/>
    </row>
    <row r="19" spans="1:9" ht="12.75" customHeight="1">
      <c r="A19" s="50"/>
      <c r="B19" s="38" t="s">
        <v>52</v>
      </c>
      <c r="C19" s="36" t="s">
        <v>47</v>
      </c>
      <c r="D19" s="29">
        <f>'[13]Утв. тарифы на ТЭ и ТН'!N14</f>
        <v>706.62</v>
      </c>
      <c r="E19" s="29">
        <f>'[13]Утв. тарифы на ТЭ и ТН'!O14</f>
        <v>706.62</v>
      </c>
      <c r="F19" s="29">
        <f>'[13]Утв. тарифы на ТЭ и ТН'!P14</f>
        <v>706.62</v>
      </c>
      <c r="G19" s="29">
        <f>'[13]Утв. тарифы на ТЭ и ТН'!Q14</f>
        <v>706.62</v>
      </c>
      <c r="H19" s="105">
        <f>'[12]6.1. ЧО'!$I$27</f>
        <v>1130.9671504575665</v>
      </c>
      <c r="I19" s="108"/>
    </row>
    <row r="20" spans="1:9" ht="12.75" customHeight="1">
      <c r="A20" s="50"/>
      <c r="B20" s="38" t="s">
        <v>53</v>
      </c>
      <c r="C20" s="36" t="s">
        <v>47</v>
      </c>
      <c r="D20" s="44"/>
      <c r="E20" s="44"/>
      <c r="F20" s="44"/>
      <c r="G20" s="44"/>
      <c r="H20" s="44"/>
      <c r="I20" s="44"/>
    </row>
    <row r="21" spans="1:9" ht="12.75" customHeight="1">
      <c r="A21" s="50" t="s">
        <v>162</v>
      </c>
      <c r="B21" s="46" t="s">
        <v>54</v>
      </c>
      <c r="C21" s="36" t="s">
        <v>47</v>
      </c>
      <c r="D21" s="44"/>
      <c r="E21" s="44"/>
      <c r="F21" s="44"/>
      <c r="G21" s="44"/>
      <c r="H21" s="44"/>
      <c r="I21" s="44"/>
    </row>
    <row r="22" spans="1:9" ht="12.75" customHeight="1">
      <c r="A22" s="50" t="s">
        <v>163</v>
      </c>
      <c r="B22" s="37" t="s">
        <v>55</v>
      </c>
      <c r="C22" s="36" t="s">
        <v>32</v>
      </c>
      <c r="D22" s="44"/>
      <c r="E22" s="44"/>
      <c r="F22" s="44"/>
      <c r="G22" s="44"/>
      <c r="H22" s="44"/>
      <c r="I22" s="44"/>
    </row>
    <row r="23" spans="1:9" ht="25.5" customHeight="1">
      <c r="A23" s="50" t="s">
        <v>164</v>
      </c>
      <c r="B23" s="38" t="s">
        <v>56</v>
      </c>
      <c r="C23" s="50" t="s">
        <v>57</v>
      </c>
      <c r="D23" s="44"/>
      <c r="E23" s="44"/>
      <c r="F23" s="44"/>
      <c r="G23" s="44"/>
      <c r="H23" s="44"/>
      <c r="I23" s="44"/>
    </row>
    <row r="24" spans="1:9" ht="12.75" customHeight="1">
      <c r="A24" s="50" t="s">
        <v>165</v>
      </c>
      <c r="B24" s="46" t="s">
        <v>58</v>
      </c>
      <c r="C24" s="36" t="s">
        <v>47</v>
      </c>
      <c r="D24" s="44"/>
      <c r="E24" s="44"/>
      <c r="F24" s="44"/>
      <c r="G24" s="44"/>
      <c r="H24" s="44"/>
      <c r="I24" s="44"/>
    </row>
    <row r="25" spans="1:9" ht="12.75" customHeight="1">
      <c r="A25" s="50" t="s">
        <v>166</v>
      </c>
      <c r="B25" s="37" t="s">
        <v>59</v>
      </c>
      <c r="C25" s="36" t="s">
        <v>169</v>
      </c>
      <c r="D25" s="44"/>
      <c r="E25" s="44"/>
      <c r="F25" s="44"/>
      <c r="G25" s="44"/>
      <c r="H25" s="44"/>
      <c r="I25" s="44"/>
    </row>
    <row r="26" spans="1:9" ht="15" customHeight="1">
      <c r="A26" s="50"/>
      <c r="B26" s="38" t="s">
        <v>60</v>
      </c>
      <c r="C26" s="36" t="s">
        <v>169</v>
      </c>
      <c r="D26" s="29">
        <f>'ЧТЭЦ-1 ДМ_П5'!D26</f>
        <v>28.16</v>
      </c>
      <c r="E26" s="29">
        <f>'ЧТЭЦ-1 ДМ_П5'!E26</f>
        <v>40.31</v>
      </c>
      <c r="F26" s="29">
        <f>'ЧТЭЦ-1 ДМ_П5'!F26</f>
        <v>35.270000000000003</v>
      </c>
      <c r="G26" s="29">
        <f>'ЧТЭЦ-1 ДМ_П5'!G26</f>
        <v>35.270000000000003</v>
      </c>
      <c r="H26" s="105">
        <f>'ЧТЭЦ-1 ДМ_П5'!H26:I26</f>
        <v>88.970828118426738</v>
      </c>
      <c r="I26" s="108"/>
    </row>
    <row r="27" spans="1:9">
      <c r="A27" s="50"/>
      <c r="B27" s="38" t="s">
        <v>61</v>
      </c>
      <c r="C27" s="36" t="s">
        <v>169</v>
      </c>
      <c r="D27" s="29">
        <f>'[13]Утв. тарифы на ТЭ и ТН'!N34</f>
        <v>55.73</v>
      </c>
      <c r="E27" s="29">
        <f>'[13]Утв. тарифы на ТЭ и ТН'!O34</f>
        <v>60.61</v>
      </c>
      <c r="F27" s="29">
        <f>'[13]Утв. тарифы на ТЭ и ТН'!P34</f>
        <v>53.44</v>
      </c>
      <c r="G27" s="29">
        <f>'[13]Утв. тарифы на ТЭ и ТН'!Q34</f>
        <v>53.44</v>
      </c>
      <c r="H27" s="105">
        <f>[12]ТН_ЧО!$E$42</f>
        <v>56.838362451514342</v>
      </c>
      <c r="I27" s="108"/>
    </row>
    <row r="28" spans="1:9">
      <c r="A28" s="8"/>
      <c r="B28" s="33"/>
      <c r="C28" s="32"/>
      <c r="D28" s="33"/>
      <c r="E28" s="33"/>
      <c r="F28" s="33"/>
      <c r="G28" s="33"/>
      <c r="H28" s="33"/>
      <c r="I28" s="33"/>
    </row>
    <row r="29" spans="1:9">
      <c r="A29" s="98" t="s">
        <v>167</v>
      </c>
      <c r="B29" s="98"/>
      <c r="C29" s="98"/>
      <c r="D29" s="98"/>
      <c r="E29" s="98"/>
      <c r="F29" s="98"/>
      <c r="G29" s="98"/>
      <c r="H29" s="98"/>
      <c r="I29" s="98"/>
    </row>
    <row r="30" spans="1:9">
      <c r="A30" s="98" t="s">
        <v>172</v>
      </c>
      <c r="B30" s="98"/>
      <c r="C30" s="98"/>
      <c r="D30" s="98"/>
      <c r="E30" s="98"/>
      <c r="F30" s="98"/>
      <c r="G30" s="98"/>
      <c r="H30" s="98"/>
      <c r="I30" s="98"/>
    </row>
    <row r="31" spans="1:9">
      <c r="A31" s="98" t="s">
        <v>181</v>
      </c>
      <c r="B31" s="98"/>
      <c r="C31" s="98"/>
      <c r="D31" s="98"/>
      <c r="E31" s="98"/>
      <c r="F31" s="98"/>
      <c r="G31" s="98"/>
      <c r="H31" s="98"/>
      <c r="I31" s="98"/>
    </row>
    <row r="32" spans="1:9">
      <c r="A32" s="98" t="s">
        <v>182</v>
      </c>
      <c r="B32" s="98"/>
      <c r="C32" s="98"/>
      <c r="D32" s="98"/>
      <c r="E32" s="98"/>
      <c r="F32" s="98"/>
      <c r="G32" s="98"/>
      <c r="H32" s="98"/>
      <c r="I32" s="98"/>
    </row>
  </sheetData>
  <mergeCells count="23">
    <mergeCell ref="A31:I31"/>
    <mergeCell ref="A32:I32"/>
    <mergeCell ref="H19:I19"/>
    <mergeCell ref="H15:I15"/>
    <mergeCell ref="H26:I26"/>
    <mergeCell ref="H27:I27"/>
    <mergeCell ref="A29:I29"/>
    <mergeCell ref="A30:I30"/>
    <mergeCell ref="A10:I10"/>
    <mergeCell ref="H11:I11"/>
    <mergeCell ref="H12:I12"/>
    <mergeCell ref="H13:I13"/>
    <mergeCell ref="D14:E14"/>
    <mergeCell ref="F14:G14"/>
    <mergeCell ref="H14:I14"/>
    <mergeCell ref="A4:I4"/>
    <mergeCell ref="A5:I5"/>
    <mergeCell ref="A7:A9"/>
    <mergeCell ref="B7:B9"/>
    <mergeCell ref="C7:C9"/>
    <mergeCell ref="D7:E7"/>
    <mergeCell ref="F7:G7"/>
    <mergeCell ref="H7:I7"/>
  </mergeCells>
  <conditionalFormatting sqref="K11">
    <cfRule type="containsText" dxfId="33" priority="3" operator="containsText" text="ложь">
      <formula>NOT(ISERROR(SEARCH("ложь",K11)))</formula>
    </cfRule>
    <cfRule type="containsText" dxfId="32" priority="4" operator="containsText" text="истина">
      <formula>NOT(ISERROR(SEARCH("истина",K11)))</formula>
    </cfRule>
  </conditionalFormatting>
  <conditionalFormatting sqref="K13">
    <cfRule type="containsText" dxfId="31" priority="1" operator="containsText" text="ложь">
      <formula>NOT(ISERROR(SEARCH("ложь",K13)))</formula>
    </cfRule>
    <cfRule type="containsText" dxfId="30" priority="2" operator="containsText" text="истина">
      <formula>NOT(ISERROR(SEARCH("истина",K13)))</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E50" sqref="E50"/>
      <selection pane="topRight" activeCell="E50" sqref="E50"/>
      <selection pane="bottomLeft" activeCell="E50" sqref="E50"/>
      <selection pane="bottomRight" activeCell="E49" sqref="E49"/>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176</v>
      </c>
    </row>
    <row r="2" spans="1:6">
      <c r="B2" s="47"/>
      <c r="F2" s="34" t="s">
        <v>77</v>
      </c>
    </row>
    <row r="4" spans="1:6">
      <c r="A4" s="99" t="s">
        <v>39</v>
      </c>
      <c r="B4" s="99"/>
      <c r="C4" s="99"/>
      <c r="D4" s="99"/>
      <c r="E4" s="99"/>
      <c r="F4" s="99"/>
    </row>
    <row r="5" spans="1:6">
      <c r="A5" s="99" t="str">
        <f>Титульный!$C$14</f>
        <v>Челябинская ТЭЦ-3 без ДПМ/НВ</v>
      </c>
      <c r="B5" s="99"/>
      <c r="C5" s="99"/>
      <c r="D5" s="99"/>
      <c r="E5" s="99"/>
      <c r="F5" s="99"/>
    </row>
    <row r="6" spans="1:6">
      <c r="A6" s="49"/>
      <c r="B6" s="49"/>
      <c r="C6" s="49"/>
      <c r="D6" s="49"/>
      <c r="E6" s="49"/>
      <c r="F6" s="49"/>
    </row>
    <row r="7" spans="1:6" s="8" customFormat="1" ht="38.25">
      <c r="A7" s="100" t="s">
        <v>1</v>
      </c>
      <c r="B7" s="100" t="s">
        <v>9</v>
      </c>
      <c r="C7" s="100" t="s">
        <v>10</v>
      </c>
      <c r="D7" s="50" t="s">
        <v>149</v>
      </c>
      <c r="E7" s="50" t="s">
        <v>150</v>
      </c>
      <c r="F7" s="50" t="s">
        <v>151</v>
      </c>
    </row>
    <row r="8" spans="1:6" s="8" customFormat="1">
      <c r="A8" s="100"/>
      <c r="B8" s="100"/>
      <c r="C8" s="100"/>
      <c r="D8" s="50">
        <f>Титульный!$B$5-2</f>
        <v>2017</v>
      </c>
      <c r="E8" s="50">
        <f>Титульный!$B$5-1</f>
        <v>2018</v>
      </c>
      <c r="F8" s="50">
        <f>Титульный!$B$5</f>
        <v>2019</v>
      </c>
    </row>
    <row r="9" spans="1:6" s="8" customFormat="1">
      <c r="A9" s="100"/>
      <c r="B9" s="100"/>
      <c r="C9" s="100"/>
      <c r="D9" s="50" t="s">
        <v>68</v>
      </c>
      <c r="E9" s="50" t="s">
        <v>68</v>
      </c>
      <c r="F9" s="50" t="s">
        <v>68</v>
      </c>
    </row>
    <row r="10" spans="1:6">
      <c r="A10" s="36" t="s">
        <v>88</v>
      </c>
      <c r="B10" s="37" t="s">
        <v>33</v>
      </c>
      <c r="C10" s="36" t="s">
        <v>35</v>
      </c>
      <c r="D10" s="29">
        <f>[23]Год!$H$11</f>
        <v>360</v>
      </c>
      <c r="E10" s="29">
        <f>'[24]0.1'!$I$11</f>
        <v>360</v>
      </c>
      <c r="F10" s="29">
        <f>'[24]0.1'!$L$11</f>
        <v>360</v>
      </c>
    </row>
    <row r="11" spans="1:6" ht="38.25">
      <c r="A11" s="36" t="s">
        <v>89</v>
      </c>
      <c r="B11" s="37" t="s">
        <v>34</v>
      </c>
      <c r="C11" s="36" t="s">
        <v>35</v>
      </c>
      <c r="D11" s="29">
        <f>[23]Год!$H$12-[23]Год!$H$14</f>
        <v>336.48902409754226</v>
      </c>
      <c r="E11" s="29">
        <f>'[24]0.1'!$I$12</f>
        <v>329.46082264249998</v>
      </c>
      <c r="F11" s="29">
        <f>'[24]0.1'!$L$12</f>
        <v>331.13125638894223</v>
      </c>
    </row>
    <row r="12" spans="1:6">
      <c r="A12" s="36" t="s">
        <v>90</v>
      </c>
      <c r="B12" s="37" t="s">
        <v>91</v>
      </c>
      <c r="C12" s="36" t="s">
        <v>152</v>
      </c>
      <c r="D12" s="29">
        <f>'[5]ЧТЭЦ-3 ДМ'!$E$7</f>
        <v>2227.9739999999997</v>
      </c>
      <c r="E12" s="29">
        <f>'[24]0.1'!$I$13</f>
        <v>2182.6057000000005</v>
      </c>
      <c r="F12" s="29">
        <f>'[24]0.1'!$L$13</f>
        <v>2228.9164499999997</v>
      </c>
    </row>
    <row r="13" spans="1:6">
      <c r="A13" s="36" t="s">
        <v>92</v>
      </c>
      <c r="B13" s="37" t="s">
        <v>93</v>
      </c>
      <c r="C13" s="36" t="s">
        <v>152</v>
      </c>
      <c r="D13" s="29">
        <f>'[5]ЧТЭЦ-3 ДМ'!$E$22</f>
        <v>2006.3636359999996</v>
      </c>
      <c r="E13" s="29">
        <f>'[24]0.1'!$I$15</f>
        <v>1965.0905000000005</v>
      </c>
      <c r="F13" s="29">
        <f>'[24]0.1'!$L$15</f>
        <v>1976.2005259999996</v>
      </c>
    </row>
    <row r="14" spans="1:6">
      <c r="A14" s="36" t="s">
        <v>94</v>
      </c>
      <c r="B14" s="37" t="s">
        <v>95</v>
      </c>
      <c r="C14" s="36" t="s">
        <v>96</v>
      </c>
      <c r="D14" s="29">
        <f>'[5]ЧТЭЦ-3 ДМ'!$E$23</f>
        <v>2429.748</v>
      </c>
      <c r="E14" s="29">
        <f>'[24]0.1'!$I$16</f>
        <v>2557.5659999999998</v>
      </c>
      <c r="F14" s="29">
        <f>'[24]0.1'!$L$16</f>
        <v>2623.3537679999999</v>
      </c>
    </row>
    <row r="15" spans="1:6">
      <c r="A15" s="36" t="s">
        <v>97</v>
      </c>
      <c r="B15" s="37" t="s">
        <v>98</v>
      </c>
      <c r="C15" s="36" t="s">
        <v>96</v>
      </c>
      <c r="D15" s="29">
        <f>'[5]ЧТЭЦ-3 ДМ'!$E$26</f>
        <v>2411.7598480000001</v>
      </c>
      <c r="E15" s="29">
        <f>'[24]0.1'!$I$17</f>
        <v>2536.7639999999997</v>
      </c>
      <c r="F15" s="29">
        <f>'[24]0.1'!$L$17</f>
        <v>2602.5572790000001</v>
      </c>
    </row>
    <row r="16" spans="1:6">
      <c r="A16" s="36" t="s">
        <v>99</v>
      </c>
      <c r="B16" s="37" t="s">
        <v>11</v>
      </c>
      <c r="C16" s="36" t="s">
        <v>100</v>
      </c>
      <c r="D16" s="40"/>
      <c r="E16" s="29">
        <f>'[24]0.1'!$I$43</f>
        <v>2274177.5061332234</v>
      </c>
      <c r="F16" s="29">
        <f>'[24]0.1'!$L$43</f>
        <v>2383995.0654542642</v>
      </c>
    </row>
    <row r="17" spans="1:8">
      <c r="A17" s="36" t="s">
        <v>101</v>
      </c>
      <c r="B17" s="38" t="s">
        <v>14</v>
      </c>
      <c r="C17" s="36" t="s">
        <v>100</v>
      </c>
      <c r="D17" s="40"/>
      <c r="E17" s="29">
        <f>'[24]0.1'!$G$43</f>
        <v>1372785.1644407923</v>
      </c>
      <c r="F17" s="29">
        <f>'[24]0.1'!$J$43</f>
        <v>1436923.5983715232</v>
      </c>
    </row>
    <row r="18" spans="1:8">
      <c r="A18" s="36" t="s">
        <v>102</v>
      </c>
      <c r="B18" s="38" t="s">
        <v>15</v>
      </c>
      <c r="C18" s="36" t="s">
        <v>100</v>
      </c>
      <c r="D18" s="40"/>
      <c r="E18" s="29">
        <f>'[24]0.1'!$H$43</f>
        <v>901392.34169243125</v>
      </c>
      <c r="F18" s="29">
        <f>'[24]0.1'!$K$43</f>
        <v>947071.46708274097</v>
      </c>
    </row>
    <row r="19" spans="1:8" ht="25.5">
      <c r="A19" s="36" t="s">
        <v>103</v>
      </c>
      <c r="B19" s="38" t="s">
        <v>16</v>
      </c>
      <c r="C19" s="36" t="s">
        <v>100</v>
      </c>
      <c r="D19" s="41"/>
      <c r="E19" s="41"/>
      <c r="F19" s="41"/>
    </row>
    <row r="20" spans="1:8">
      <c r="A20" s="36" t="s">
        <v>104</v>
      </c>
      <c r="B20" s="37" t="s">
        <v>105</v>
      </c>
      <c r="C20" s="36" t="s">
        <v>100</v>
      </c>
      <c r="D20" s="29">
        <f>'[5]ЧТЭЦ-3 ДМ'!$E$235</f>
        <v>2838912.0084199994</v>
      </c>
      <c r="E20" s="29">
        <f>'[24]0.1'!$I$31</f>
        <v>2654942.2412034199</v>
      </c>
      <c r="F20" s="29">
        <f>'[24]0.1'!$L$31</f>
        <v>2795817.8197610527</v>
      </c>
      <c r="G20" s="47"/>
      <c r="H20" s="47"/>
    </row>
    <row r="21" spans="1:8">
      <c r="A21" s="36" t="s">
        <v>106</v>
      </c>
      <c r="B21" s="38" t="s">
        <v>107</v>
      </c>
      <c r="C21" s="36" t="s">
        <v>100</v>
      </c>
      <c r="D21" s="29">
        <f>'[5]ЧТЭЦ-3 ДМ'!$E$255</f>
        <v>1467067.1662000001</v>
      </c>
      <c r="E21" s="29">
        <f>'[24]0.1'!$I$32</f>
        <v>1358544.3401561799</v>
      </c>
      <c r="F21" s="29">
        <f>'[24]0.1'!$L$32</f>
        <v>1421955.9006726367</v>
      </c>
      <c r="G21" s="47"/>
      <c r="H21" s="47"/>
    </row>
    <row r="22" spans="1:8" ht="25.5">
      <c r="A22" s="36"/>
      <c r="B22" s="38" t="s">
        <v>108</v>
      </c>
      <c r="C22" s="36" t="s">
        <v>36</v>
      </c>
      <c r="D22" s="29">
        <f>'[5]ЧТЭЦ-3 ДМ'!$E$31</f>
        <v>211.50434093784892</v>
      </c>
      <c r="E22" s="29">
        <f>'[24]4'!$L$24</f>
        <v>224.6</v>
      </c>
      <c r="F22" s="29">
        <f>'[24]4'!$M$24</f>
        <v>226.75397751095107</v>
      </c>
      <c r="G22" s="47"/>
      <c r="H22" s="47"/>
    </row>
    <row r="23" spans="1:8">
      <c r="A23" s="36" t="s">
        <v>109</v>
      </c>
      <c r="B23" s="38" t="s">
        <v>110</v>
      </c>
      <c r="C23" s="36" t="s">
        <v>100</v>
      </c>
      <c r="D23" s="29">
        <f>D20-D21</f>
        <v>1371844.8422199993</v>
      </c>
      <c r="E23" s="29">
        <f>'[24]0.1'!$I$33</f>
        <v>1296397.90104724</v>
      </c>
      <c r="F23" s="29">
        <f>'[24]0.1'!$L$33</f>
        <v>1373861.919088416</v>
      </c>
    </row>
    <row r="24" spans="1:8">
      <c r="A24" s="36"/>
      <c r="B24" s="38" t="s">
        <v>111</v>
      </c>
      <c r="C24" s="36" t="s">
        <v>112</v>
      </c>
      <c r="D24" s="29">
        <f>'[5]ЧТЭЦ-3 ДМ'!$E$36</f>
        <v>164.28082253797513</v>
      </c>
      <c r="E24" s="29">
        <f>'[24]4'!$L$28</f>
        <v>165.5</v>
      </c>
      <c r="F24" s="29">
        <f>'[24]4'!$M$28</f>
        <v>165.84680695711455</v>
      </c>
    </row>
    <row r="25" spans="1:8" ht="25.5">
      <c r="A25" s="36"/>
      <c r="B25" s="9" t="s">
        <v>113</v>
      </c>
      <c r="C25" s="36" t="s">
        <v>32</v>
      </c>
      <c r="D25" s="50" t="s">
        <v>195</v>
      </c>
      <c r="E25" s="67" t="s">
        <v>195</v>
      </c>
      <c r="F25" s="41"/>
    </row>
    <row r="26" spans="1:8">
      <c r="A26" s="36" t="s">
        <v>114</v>
      </c>
      <c r="B26" s="9" t="s">
        <v>17</v>
      </c>
      <c r="C26" s="36" t="s">
        <v>100</v>
      </c>
      <c r="D26" s="41"/>
      <c r="E26" s="41"/>
      <c r="F26" s="41"/>
    </row>
    <row r="27" spans="1:8" ht="25.5">
      <c r="A27" s="36" t="s">
        <v>115</v>
      </c>
      <c r="B27" s="9" t="s">
        <v>12</v>
      </c>
      <c r="C27" s="36" t="s">
        <v>32</v>
      </c>
      <c r="D27" s="41"/>
      <c r="E27" s="41"/>
      <c r="F27" s="41"/>
    </row>
    <row r="28" spans="1:8">
      <c r="A28" s="36" t="s">
        <v>116</v>
      </c>
      <c r="B28" s="38" t="s">
        <v>117</v>
      </c>
      <c r="C28" s="36" t="s">
        <v>118</v>
      </c>
      <c r="D28" s="41"/>
      <c r="E28" s="41"/>
      <c r="F28" s="41"/>
    </row>
    <row r="29" spans="1:8" ht="25.5">
      <c r="A29" s="39" t="s">
        <v>119</v>
      </c>
      <c r="B29" s="38" t="s">
        <v>120</v>
      </c>
      <c r="C29" s="50" t="s">
        <v>121</v>
      </c>
      <c r="D29" s="41"/>
      <c r="E29" s="41"/>
      <c r="F29" s="41"/>
    </row>
    <row r="30" spans="1:8" ht="25.5">
      <c r="A30" s="36" t="s">
        <v>122</v>
      </c>
      <c r="B30" s="38" t="s">
        <v>123</v>
      </c>
      <c r="C30" s="36" t="s">
        <v>32</v>
      </c>
      <c r="D30" s="41"/>
      <c r="E30" s="41"/>
      <c r="F30" s="41"/>
    </row>
    <row r="31" spans="1:8">
      <c r="A31" s="36" t="s">
        <v>124</v>
      </c>
      <c r="B31" s="9" t="s">
        <v>125</v>
      </c>
      <c r="C31" s="36" t="s">
        <v>100</v>
      </c>
      <c r="D31" s="29">
        <f>('[6]ЧТЭЦ-3'!$E$12-'[6]ЧТЭЦ-3'!$N$12-'[6]ЧТЭЦ-3'!$V$12-'[6]ЧТЭЦ-3'!$AH$12)/1000</f>
        <v>4207259.6439199997</v>
      </c>
      <c r="E31" s="41"/>
      <c r="F31" s="41"/>
    </row>
    <row r="32" spans="1:8">
      <c r="A32" s="36" t="s">
        <v>126</v>
      </c>
      <c r="B32" s="38" t="s">
        <v>18</v>
      </c>
      <c r="C32" s="36" t="s">
        <v>100</v>
      </c>
      <c r="D32" s="29">
        <f>'[6]ЧТЭЦ-3'!$J$12/1000</f>
        <v>1827933.8263099999</v>
      </c>
      <c r="E32" s="41"/>
      <c r="F32" s="41"/>
    </row>
    <row r="33" spans="1:6">
      <c r="A33" s="36" t="s">
        <v>127</v>
      </c>
      <c r="B33" s="38" t="s">
        <v>19</v>
      </c>
      <c r="C33" s="36" t="s">
        <v>100</v>
      </c>
      <c r="D33" s="29">
        <f>'[6]ЧТЭЦ-3'!$R$12/1000</f>
        <v>546471.38406000007</v>
      </c>
      <c r="E33" s="41"/>
      <c r="F33" s="41"/>
    </row>
    <row r="34" spans="1:6" ht="25.5">
      <c r="A34" s="36" t="s">
        <v>128</v>
      </c>
      <c r="B34" s="38" t="s">
        <v>20</v>
      </c>
      <c r="C34" s="36" t="s">
        <v>100</v>
      </c>
      <c r="D34" s="29">
        <f>('[6]ЧТЭЦ-3'!$Z$12-'[6]ЧТЭЦ-3'!$AH$12)/1000</f>
        <v>1790812.0537999999</v>
      </c>
      <c r="E34" s="41"/>
      <c r="F34" s="41"/>
    </row>
    <row r="35" spans="1:6">
      <c r="A35" s="36" t="s">
        <v>179</v>
      </c>
      <c r="B35" s="38" t="s">
        <v>180</v>
      </c>
      <c r="C35" s="36" t="s">
        <v>100</v>
      </c>
      <c r="D35" s="29">
        <f>('[6]ЧТЭЦ-3'!$AP$12+'[6]ЧТЭЦ-3'!$AT$12+'[6]ЧТЭЦ-3'!$AX$12)/1000</f>
        <v>42042.379719999997</v>
      </c>
      <c r="E35" s="41"/>
      <c r="F35" s="41"/>
    </row>
    <row r="36" spans="1:6">
      <c r="A36" s="36" t="s">
        <v>129</v>
      </c>
      <c r="B36" s="9" t="s">
        <v>130</v>
      </c>
      <c r="C36" s="36" t="s">
        <v>100</v>
      </c>
      <c r="D36" s="41"/>
      <c r="E36" s="41"/>
      <c r="F36" s="41"/>
    </row>
    <row r="37" spans="1:6">
      <c r="A37" s="36" t="s">
        <v>131</v>
      </c>
      <c r="B37" s="38" t="s">
        <v>21</v>
      </c>
      <c r="C37" s="36" t="s">
        <v>100</v>
      </c>
      <c r="D37" s="41"/>
      <c r="E37" s="41"/>
      <c r="F37" s="41"/>
    </row>
    <row r="38" spans="1:6">
      <c r="A38" s="36" t="s">
        <v>132</v>
      </c>
      <c r="B38" s="38" t="s">
        <v>40</v>
      </c>
      <c r="C38" s="36" t="s">
        <v>100</v>
      </c>
      <c r="D38" s="41"/>
      <c r="E38" s="41"/>
      <c r="F38" s="41"/>
    </row>
    <row r="39" spans="1:6">
      <c r="A39" s="36" t="s">
        <v>133</v>
      </c>
      <c r="B39" s="9" t="s">
        <v>134</v>
      </c>
      <c r="C39" s="36" t="s">
        <v>100</v>
      </c>
      <c r="D39" s="41"/>
      <c r="E39" s="41"/>
      <c r="F39" s="41"/>
    </row>
    <row r="40" spans="1:6">
      <c r="A40" s="36" t="s">
        <v>135</v>
      </c>
      <c r="B40" s="38" t="s">
        <v>18</v>
      </c>
      <c r="C40" s="36" t="s">
        <v>100</v>
      </c>
      <c r="D40" s="41"/>
      <c r="E40" s="41"/>
      <c r="F40" s="41"/>
    </row>
    <row r="41" spans="1:6">
      <c r="A41" s="36" t="s">
        <v>136</v>
      </c>
      <c r="B41" s="38" t="s">
        <v>19</v>
      </c>
      <c r="C41" s="36" t="s">
        <v>100</v>
      </c>
      <c r="D41" s="41"/>
      <c r="E41" s="41"/>
      <c r="F41" s="41"/>
    </row>
    <row r="42" spans="1:6" ht="25.5">
      <c r="A42" s="36" t="s">
        <v>137</v>
      </c>
      <c r="B42" s="38" t="s">
        <v>20</v>
      </c>
      <c r="C42" s="36" t="s">
        <v>100</v>
      </c>
      <c r="D42" s="41"/>
      <c r="E42" s="41"/>
      <c r="F42" s="41"/>
    </row>
    <row r="43" spans="1:6" ht="25.5">
      <c r="A43" s="36" t="s">
        <v>138</v>
      </c>
      <c r="B43" s="9" t="s">
        <v>139</v>
      </c>
      <c r="C43" s="36" t="s">
        <v>100</v>
      </c>
      <c r="D43" s="41"/>
      <c r="E43" s="41"/>
      <c r="F43" s="41"/>
    </row>
    <row r="44" spans="1:6">
      <c r="A44" s="36" t="s">
        <v>140</v>
      </c>
      <c r="B44" s="38" t="s">
        <v>18</v>
      </c>
      <c r="C44" s="36" t="s">
        <v>100</v>
      </c>
      <c r="D44" s="41"/>
      <c r="E44" s="41"/>
      <c r="F44" s="41"/>
    </row>
    <row r="45" spans="1:6">
      <c r="A45" s="36" t="s">
        <v>141</v>
      </c>
      <c r="B45" s="38" t="s">
        <v>19</v>
      </c>
      <c r="C45" s="36" t="s">
        <v>100</v>
      </c>
      <c r="D45" s="41"/>
      <c r="E45" s="41"/>
      <c r="F45" s="41"/>
    </row>
    <row r="46" spans="1:6" ht="25.5">
      <c r="A46" s="36" t="s">
        <v>142</v>
      </c>
      <c r="B46" s="38" t="s">
        <v>20</v>
      </c>
      <c r="C46" s="36" t="s">
        <v>100</v>
      </c>
      <c r="D46" s="41"/>
      <c r="E46" s="41"/>
      <c r="F46" s="41"/>
    </row>
    <row r="47" spans="1:6">
      <c r="A47" s="36" t="s">
        <v>143</v>
      </c>
      <c r="B47" s="9" t="s">
        <v>178</v>
      </c>
      <c r="C47" s="36" t="s">
        <v>100</v>
      </c>
      <c r="D47" s="52">
        <v>12200091</v>
      </c>
      <c r="E47" s="41"/>
      <c r="F47" s="41"/>
    </row>
    <row r="48" spans="1:6" ht="25.5">
      <c r="A48" s="36" t="s">
        <v>144</v>
      </c>
      <c r="B48" s="9" t="s">
        <v>177</v>
      </c>
      <c r="C48" s="36" t="s">
        <v>145</v>
      </c>
      <c r="D48" s="31">
        <f>19896480/65281414</f>
        <v>0.30478016300320948</v>
      </c>
      <c r="E48" s="41"/>
      <c r="F48" s="41"/>
    </row>
    <row r="49" spans="1:6" ht="229.5">
      <c r="A49" s="36" t="s">
        <v>146</v>
      </c>
      <c r="B49" s="9" t="s">
        <v>13</v>
      </c>
      <c r="C49" s="36" t="s">
        <v>32</v>
      </c>
      <c r="D49" s="9" t="s">
        <v>197</v>
      </c>
      <c r="E49" s="9" t="s">
        <v>200</v>
      </c>
      <c r="F49" s="9" t="s">
        <v>147</v>
      </c>
    </row>
    <row r="50" spans="1:6">
      <c r="B50" s="8"/>
    </row>
    <row r="51" spans="1:6">
      <c r="A51" s="98" t="s">
        <v>148</v>
      </c>
      <c r="B51" s="98"/>
      <c r="C51" s="98"/>
      <c r="D51" s="98"/>
      <c r="E51" s="98"/>
      <c r="F51" s="98"/>
    </row>
    <row r="52" spans="1:6">
      <c r="A52" s="98" t="s">
        <v>186</v>
      </c>
      <c r="B52" s="98"/>
      <c r="C52" s="98"/>
      <c r="D52" s="98"/>
      <c r="E52" s="98"/>
      <c r="F52" s="98"/>
    </row>
  </sheetData>
  <mergeCells count="7">
    <mergeCell ref="A51:F51"/>
    <mergeCell ref="A52:F52"/>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activeCell="B23" sqref="B23"/>
      <selection pane="topRight" activeCell="B23" sqref="B23"/>
      <selection pane="bottomLeft" activeCell="B23" sqref="B23"/>
      <selection pane="bottomRight" activeCell="A32" sqref="A32:I32"/>
    </sheetView>
  </sheetViews>
  <sheetFormatPr defaultRowHeight="12.75" outlineLevelCol="1"/>
  <cols>
    <col min="1" max="1" width="5.7109375" style="3" customWidth="1"/>
    <col min="2" max="2" width="44.140625" style="12" customWidth="1"/>
    <col min="3" max="3" width="14.28515625" style="27" bestFit="1" customWidth="1"/>
    <col min="4" max="5" width="19" style="12" customWidth="1"/>
    <col min="6" max="6" width="22" style="12" customWidth="1"/>
    <col min="7"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175</v>
      </c>
    </row>
    <row r="2" spans="1:11">
      <c r="F2" s="27"/>
      <c r="I2" s="26" t="s">
        <v>77</v>
      </c>
    </row>
    <row r="3" spans="1:11">
      <c r="B3" s="64"/>
      <c r="F3" s="27"/>
    </row>
    <row r="4" spans="1:11">
      <c r="A4" s="79" t="s">
        <v>41</v>
      </c>
      <c r="B4" s="97"/>
      <c r="C4" s="97"/>
      <c r="D4" s="97"/>
      <c r="E4" s="97"/>
      <c r="F4" s="97"/>
      <c r="G4" s="97"/>
      <c r="H4" s="97"/>
      <c r="I4" s="97"/>
    </row>
    <row r="5" spans="1:11">
      <c r="A5" s="79" t="str">
        <f>Титульный!$C$14</f>
        <v>Челябинская ТЭЦ-3 без ДПМ/НВ</v>
      </c>
      <c r="B5" s="97"/>
      <c r="C5" s="97"/>
      <c r="D5" s="97"/>
      <c r="E5" s="97"/>
      <c r="F5" s="97"/>
      <c r="G5" s="97"/>
      <c r="H5" s="97"/>
      <c r="I5" s="97"/>
    </row>
    <row r="7" spans="1:11" s="3" customFormat="1" ht="32.25" customHeight="1">
      <c r="A7" s="101" t="s">
        <v>87</v>
      </c>
      <c r="B7" s="101" t="s">
        <v>9</v>
      </c>
      <c r="C7" s="101" t="s">
        <v>153</v>
      </c>
      <c r="D7" s="101" t="s">
        <v>173</v>
      </c>
      <c r="E7" s="101"/>
      <c r="F7" s="101" t="s">
        <v>150</v>
      </c>
      <c r="G7" s="101"/>
      <c r="H7" s="101" t="s">
        <v>151</v>
      </c>
      <c r="I7" s="101"/>
      <c r="K7" s="48"/>
    </row>
    <row r="8" spans="1:11" s="3" customFormat="1">
      <c r="A8" s="101"/>
      <c r="B8" s="101"/>
      <c r="C8" s="101"/>
      <c r="D8" s="42">
        <f>Титульный!$B$5-2</f>
        <v>2017</v>
      </c>
      <c r="E8" s="43" t="s">
        <v>68</v>
      </c>
      <c r="F8" s="42">
        <f>Титульный!$B$5-1</f>
        <v>2018</v>
      </c>
      <c r="G8" s="43" t="s">
        <v>68</v>
      </c>
      <c r="H8" s="42">
        <f>Титульный!$B$5</f>
        <v>2019</v>
      </c>
      <c r="I8" s="43" t="s">
        <v>68</v>
      </c>
      <c r="K8" s="48"/>
    </row>
    <row r="9" spans="1:11" s="3" customFormat="1">
      <c r="A9" s="101"/>
      <c r="B9" s="101"/>
      <c r="C9" s="101"/>
      <c r="D9" s="51" t="s">
        <v>22</v>
      </c>
      <c r="E9" s="51" t="s">
        <v>23</v>
      </c>
      <c r="F9" s="51" t="s">
        <v>22</v>
      </c>
      <c r="G9" s="51" t="s">
        <v>23</v>
      </c>
      <c r="H9" s="51" t="s">
        <v>22</v>
      </c>
      <c r="I9" s="51" t="s">
        <v>23</v>
      </c>
    </row>
    <row r="10" spans="1:11" ht="12.75" customHeight="1">
      <c r="A10" s="102" t="s">
        <v>170</v>
      </c>
      <c r="B10" s="103"/>
      <c r="C10" s="103"/>
      <c r="D10" s="103"/>
      <c r="E10" s="103"/>
      <c r="F10" s="103"/>
      <c r="G10" s="103"/>
      <c r="H10" s="103"/>
      <c r="I10" s="104"/>
    </row>
    <row r="11" spans="1:11" ht="12.75" customHeight="1">
      <c r="A11" s="50" t="s">
        <v>154</v>
      </c>
      <c r="B11" s="37" t="s">
        <v>155</v>
      </c>
      <c r="C11" s="36" t="s">
        <v>168</v>
      </c>
      <c r="D11" s="29">
        <f>'[7]Утв. тарифы на ЭЭ и ЭМ'!$E$16</f>
        <v>662.55</v>
      </c>
      <c r="E11" s="29">
        <f>'[7]Утв. тарифы на ЭЭ и ЭМ'!$F$16</f>
        <v>676.43</v>
      </c>
      <c r="F11" s="29">
        <f>E11</f>
        <v>676.43</v>
      </c>
      <c r="G11" s="29">
        <f>'[24]0.1'!$G$20</f>
        <v>698.58623022236986</v>
      </c>
      <c r="H11" s="105">
        <f>'[24]0.1'!$L$20</f>
        <v>727.11426774082508</v>
      </c>
      <c r="I11" s="106"/>
      <c r="K11" s="65" t="b">
        <f>ROUND([9]Лист1!$D$76,1)=ROUND(H11,1)</f>
        <v>1</v>
      </c>
    </row>
    <row r="12" spans="1:11" ht="12.75" customHeight="1">
      <c r="A12" s="50"/>
      <c r="B12" s="45" t="s">
        <v>171</v>
      </c>
      <c r="C12" s="36" t="s">
        <v>168</v>
      </c>
      <c r="D12" s="29">
        <f>('[5]ЧТЭЦ-3 ДМ'!$F$255+'[5]ЧТЭЦ-3 ДМ'!$G$255+'[5]ЧТЭЦ-3 ДМ'!$H$255+'[5]ЧТЭЦ-3 ДМ'!$J$255+'[5]ЧТЭЦ-3 ДМ'!$K$255+'[5]ЧТЭЦ-3 ДМ'!$L$255)/('[5]ЧТЭЦ-3 ДМ'!$F$22+'[5]ЧТЭЦ-3 ДМ'!$G$22+'[5]ЧТЭЦ-3 ДМ'!$H$22+'[5]ЧТЭЦ-3 ДМ'!$J$22+'[5]ЧТЭЦ-3 ДМ'!$K$22+'[5]ЧТЭЦ-3 ДМ'!$L$22)</f>
        <v>707.78930538231873</v>
      </c>
      <c r="E12" s="29">
        <f>('[5]ЧТЭЦ-3 ДМ'!$N$255+'[5]ЧТЭЦ-3 ДМ'!$O$255+'[5]ЧТЭЦ-3 ДМ'!$P$255+'[5]ЧТЭЦ-3 ДМ'!$R$255+'[5]ЧТЭЦ-3 ДМ'!$S$255+'[5]ЧТЭЦ-3 ДМ'!$T$255)/('[5]ЧТЭЦ-3 ДМ'!$N$22+'[5]ЧТЭЦ-3 ДМ'!$O$22+'[5]ЧТЭЦ-3 ДМ'!$P$22+'[5]ЧТЭЦ-3 ДМ'!$R$22+'[5]ЧТЭЦ-3 ДМ'!$S$22+'[5]ЧТЭЦ-3 ДМ'!$T$22)</f>
        <v>753.91591805889709</v>
      </c>
      <c r="F12" s="29">
        <f>'[24]2.2'!$G$170</f>
        <v>669.45910491037841</v>
      </c>
      <c r="G12" s="29">
        <f>'[24]2.1'!$G$170</f>
        <v>691.33932516399602</v>
      </c>
      <c r="H12" s="105">
        <f>'[24]2'!$G$170</f>
        <v>719.54029055482442</v>
      </c>
      <c r="I12" s="106"/>
    </row>
    <row r="13" spans="1:11" ht="12.75" customHeight="1">
      <c r="A13" s="50" t="s">
        <v>156</v>
      </c>
      <c r="B13" s="37" t="s">
        <v>157</v>
      </c>
      <c r="C13" s="36" t="s">
        <v>158</v>
      </c>
      <c r="D13" s="29">
        <f>'[7]Утв. тарифы на ЭЭ и ЭМ'!$G$16</f>
        <v>209191.06</v>
      </c>
      <c r="E13" s="29">
        <f>'[7]Утв. тарифы на ЭЭ и ЭМ'!$H$16</f>
        <v>219147.27</v>
      </c>
      <c r="F13" s="29">
        <f>E13</f>
        <v>219147.27</v>
      </c>
      <c r="G13" s="29">
        <f>'[24]0.1'!$H$21</f>
        <v>227996.84609504588</v>
      </c>
      <c r="H13" s="105">
        <f>'[24]0.1'!$L$21</f>
        <v>238342.41176010773</v>
      </c>
      <c r="I13" s="106"/>
      <c r="K13" s="65" t="b">
        <f>ROUND([9]Лист1!$E$76,1)=ROUND(H13,1)</f>
        <v>1</v>
      </c>
    </row>
    <row r="14" spans="1:11" ht="27.75" customHeight="1">
      <c r="A14" s="50" t="s">
        <v>159</v>
      </c>
      <c r="B14" s="37" t="s">
        <v>174</v>
      </c>
      <c r="C14" s="36" t="s">
        <v>47</v>
      </c>
      <c r="D14" s="105">
        <f>'ЧТЭЦ-1 ДМ_П5'!D14:E14</f>
        <v>641.93004009946117</v>
      </c>
      <c r="E14" s="106"/>
      <c r="F14" s="105">
        <f>'ЧТЭЦ-1 ДМ_П5'!F14:G14</f>
        <v>641.81403648616254</v>
      </c>
      <c r="G14" s="106"/>
      <c r="H14" s="105">
        <f>'ЧТЭЦ-1 ДМ_П5'!H14:I14</f>
        <v>971.98007895896069</v>
      </c>
      <c r="I14" s="106"/>
    </row>
    <row r="15" spans="1:11" ht="26.25" customHeight="1">
      <c r="A15" s="50" t="s">
        <v>160</v>
      </c>
      <c r="B15" s="46" t="s">
        <v>48</v>
      </c>
      <c r="C15" s="36" t="s">
        <v>47</v>
      </c>
      <c r="D15" s="29">
        <f>'ЧТЭЦ-1 ДМ_П5'!D15</f>
        <v>641.62</v>
      </c>
      <c r="E15" s="29">
        <f>'ЧТЭЦ-1 ДМ_П5'!E15</f>
        <v>641.62</v>
      </c>
      <c r="F15" s="29">
        <f>'ЧТЭЦ-1 ДМ_П5'!F15</f>
        <v>641.62</v>
      </c>
      <c r="G15" s="29">
        <f>'ЧТЭЦ-1 ДМ_П5'!G15</f>
        <v>641.62</v>
      </c>
      <c r="H15" s="105">
        <f>'ЧТЭЦ-1 ДМ_П5'!H15:I15</f>
        <v>971.50953804854021</v>
      </c>
      <c r="I15" s="106"/>
    </row>
    <row r="16" spans="1:11" ht="12.75" customHeight="1">
      <c r="A16" s="50" t="s">
        <v>161</v>
      </c>
      <c r="B16" s="46" t="s">
        <v>49</v>
      </c>
      <c r="C16" s="36" t="s">
        <v>47</v>
      </c>
      <c r="D16" s="44"/>
      <c r="E16" s="44"/>
      <c r="F16" s="44"/>
      <c r="G16" s="44"/>
      <c r="H16" s="44"/>
      <c r="I16" s="44"/>
    </row>
    <row r="17" spans="1:9" ht="12.75" customHeight="1">
      <c r="A17" s="50"/>
      <c r="B17" s="38" t="s">
        <v>50</v>
      </c>
      <c r="C17" s="36" t="s">
        <v>47</v>
      </c>
      <c r="D17" s="44"/>
      <c r="E17" s="44"/>
      <c r="F17" s="44"/>
      <c r="G17" s="44"/>
      <c r="H17" s="44"/>
      <c r="I17" s="44"/>
    </row>
    <row r="18" spans="1:9" ht="12.75" customHeight="1">
      <c r="A18" s="50"/>
      <c r="B18" s="38" t="s">
        <v>51</v>
      </c>
      <c r="C18" s="36" t="s">
        <v>47</v>
      </c>
      <c r="D18" s="44"/>
      <c r="E18" s="44"/>
      <c r="F18" s="44"/>
      <c r="G18" s="44"/>
      <c r="H18" s="44"/>
      <c r="I18" s="44"/>
    </row>
    <row r="19" spans="1:9" ht="12.75" customHeight="1">
      <c r="A19" s="50"/>
      <c r="B19" s="38" t="s">
        <v>52</v>
      </c>
      <c r="C19" s="36" t="s">
        <v>47</v>
      </c>
      <c r="D19" s="29">
        <f>'ЧТЭЦ-2_П5'!D19</f>
        <v>706.62</v>
      </c>
      <c r="E19" s="29">
        <f>'ЧТЭЦ-2_П5'!E19</f>
        <v>706.62</v>
      </c>
      <c r="F19" s="29">
        <f>'ЧТЭЦ-2_П5'!F19</f>
        <v>706.62</v>
      </c>
      <c r="G19" s="29">
        <f>'ЧТЭЦ-2_П5'!G19</f>
        <v>706.62</v>
      </c>
      <c r="H19" s="105">
        <f>'ЧТЭЦ-2_П5'!H19</f>
        <v>1130.9671504575665</v>
      </c>
      <c r="I19" s="108"/>
    </row>
    <row r="20" spans="1:9" ht="12.75" customHeight="1">
      <c r="A20" s="50"/>
      <c r="B20" s="38" t="s">
        <v>53</v>
      </c>
      <c r="C20" s="36" t="s">
        <v>47</v>
      </c>
      <c r="D20" s="44"/>
      <c r="E20" s="44"/>
      <c r="F20" s="44"/>
      <c r="G20" s="44"/>
      <c r="H20" s="44"/>
      <c r="I20" s="44"/>
    </row>
    <row r="21" spans="1:9" ht="12.75" customHeight="1">
      <c r="A21" s="50" t="s">
        <v>162</v>
      </c>
      <c r="B21" s="46" t="s">
        <v>54</v>
      </c>
      <c r="C21" s="36" t="s">
        <v>47</v>
      </c>
      <c r="D21" s="44"/>
      <c r="E21" s="44"/>
      <c r="F21" s="44"/>
      <c r="G21" s="44"/>
      <c r="H21" s="44"/>
      <c r="I21" s="44"/>
    </row>
    <row r="22" spans="1:9" ht="12.75" customHeight="1">
      <c r="A22" s="50" t="s">
        <v>163</v>
      </c>
      <c r="B22" s="37" t="s">
        <v>55</v>
      </c>
      <c r="C22" s="36" t="s">
        <v>32</v>
      </c>
      <c r="D22" s="44"/>
      <c r="E22" s="44"/>
      <c r="F22" s="44"/>
      <c r="G22" s="44"/>
      <c r="H22" s="44"/>
      <c r="I22" s="44"/>
    </row>
    <row r="23" spans="1:9" ht="25.5" customHeight="1">
      <c r="A23" s="50" t="s">
        <v>164</v>
      </c>
      <c r="B23" s="38" t="s">
        <v>56</v>
      </c>
      <c r="C23" s="50" t="s">
        <v>57</v>
      </c>
      <c r="D23" s="44"/>
      <c r="E23" s="44"/>
      <c r="F23" s="44"/>
      <c r="G23" s="44"/>
      <c r="H23" s="44"/>
      <c r="I23" s="44"/>
    </row>
    <row r="24" spans="1:9" ht="12.75" customHeight="1">
      <c r="A24" s="50" t="s">
        <v>165</v>
      </c>
      <c r="B24" s="46" t="s">
        <v>58</v>
      </c>
      <c r="C24" s="36" t="s">
        <v>47</v>
      </c>
      <c r="D24" s="44"/>
      <c r="E24" s="44"/>
      <c r="F24" s="44"/>
      <c r="G24" s="44"/>
      <c r="H24" s="44"/>
      <c r="I24" s="44"/>
    </row>
    <row r="25" spans="1:9" ht="12.75" customHeight="1">
      <c r="A25" s="50" t="s">
        <v>166</v>
      </c>
      <c r="B25" s="37" t="s">
        <v>59</v>
      </c>
      <c r="C25" s="36" t="s">
        <v>169</v>
      </c>
      <c r="D25" s="44"/>
      <c r="E25" s="44"/>
      <c r="F25" s="44"/>
      <c r="G25" s="44"/>
      <c r="H25" s="44"/>
      <c r="I25" s="44"/>
    </row>
    <row r="26" spans="1:9" ht="15" customHeight="1">
      <c r="A26" s="50"/>
      <c r="B26" s="38" t="s">
        <v>60</v>
      </c>
      <c r="C26" s="36" t="s">
        <v>169</v>
      </c>
      <c r="D26" s="29">
        <f>'ЧТЭЦ-1 ДМ_П5'!D26</f>
        <v>28.16</v>
      </c>
      <c r="E26" s="29">
        <f>'ЧТЭЦ-1 ДМ_П5'!E26</f>
        <v>40.31</v>
      </c>
      <c r="F26" s="29">
        <f>'ЧТЭЦ-1 ДМ_П5'!F26</f>
        <v>35.270000000000003</v>
      </c>
      <c r="G26" s="29">
        <f>'ЧТЭЦ-1 ДМ_П5'!G26</f>
        <v>35.270000000000003</v>
      </c>
      <c r="H26" s="105">
        <f>'ЧТЭЦ-1 ДМ_П5'!H26:I26</f>
        <v>88.970828118426738</v>
      </c>
      <c r="I26" s="108"/>
    </row>
    <row r="27" spans="1:9">
      <c r="A27" s="50"/>
      <c r="B27" s="38" t="s">
        <v>61</v>
      </c>
      <c r="C27" s="36" t="s">
        <v>169</v>
      </c>
      <c r="D27" s="29">
        <f>'[13]Утв. тарифы на ТЭ и ТН'!N35</f>
        <v>52.37</v>
      </c>
      <c r="E27" s="29">
        <f>'[13]Утв. тарифы на ТЭ и ТН'!O35</f>
        <v>55.66</v>
      </c>
      <c r="F27" s="29">
        <f>'[13]Утв. тарифы на ТЭ и ТН'!P35</f>
        <v>55.66</v>
      </c>
      <c r="G27" s="29">
        <f>'[13]Утв. тарифы на ТЭ и ТН'!Q35</f>
        <v>80.37</v>
      </c>
      <c r="H27" s="105">
        <f>[12]ТН_ЧО!$E$45</f>
        <v>75.022671884114658</v>
      </c>
      <c r="I27" s="108"/>
    </row>
    <row r="28" spans="1:9">
      <c r="A28" s="8"/>
      <c r="B28" s="33"/>
      <c r="C28" s="32"/>
      <c r="D28" s="33"/>
      <c r="E28" s="33"/>
      <c r="F28" s="33"/>
      <c r="G28" s="33"/>
      <c r="H28" s="33"/>
      <c r="I28" s="33"/>
    </row>
    <row r="29" spans="1:9">
      <c r="A29" s="98" t="s">
        <v>167</v>
      </c>
      <c r="B29" s="98"/>
      <c r="C29" s="98"/>
      <c r="D29" s="98"/>
      <c r="E29" s="98"/>
      <c r="F29" s="98"/>
      <c r="G29" s="98"/>
      <c r="H29" s="98"/>
      <c r="I29" s="98"/>
    </row>
    <row r="30" spans="1:9">
      <c r="A30" s="98" t="s">
        <v>172</v>
      </c>
      <c r="B30" s="98"/>
      <c r="C30" s="98"/>
      <c r="D30" s="98"/>
      <c r="E30" s="98"/>
      <c r="F30" s="98"/>
      <c r="G30" s="98"/>
      <c r="H30" s="98"/>
      <c r="I30" s="98"/>
    </row>
    <row r="31" spans="1:9">
      <c r="A31" s="98" t="s">
        <v>181</v>
      </c>
      <c r="B31" s="98"/>
      <c r="C31" s="98"/>
      <c r="D31" s="98"/>
      <c r="E31" s="98"/>
      <c r="F31" s="98"/>
      <c r="G31" s="98"/>
      <c r="H31" s="98"/>
      <c r="I31" s="98"/>
    </row>
    <row r="32" spans="1:9">
      <c r="A32" s="98" t="s">
        <v>182</v>
      </c>
      <c r="B32" s="98"/>
      <c r="C32" s="98"/>
      <c r="D32" s="98"/>
      <c r="E32" s="98"/>
      <c r="F32" s="98"/>
      <c r="G32" s="98"/>
      <c r="H32" s="98"/>
      <c r="I32" s="98"/>
    </row>
  </sheetData>
  <mergeCells count="23">
    <mergeCell ref="A31:I31"/>
    <mergeCell ref="A32:I32"/>
    <mergeCell ref="H15:I15"/>
    <mergeCell ref="H19:I19"/>
    <mergeCell ref="H26:I26"/>
    <mergeCell ref="H27:I27"/>
    <mergeCell ref="A29:I29"/>
    <mergeCell ref="A30:I30"/>
    <mergeCell ref="A10:I10"/>
    <mergeCell ref="H11:I11"/>
    <mergeCell ref="H12:I12"/>
    <mergeCell ref="H13:I13"/>
    <mergeCell ref="D14:E14"/>
    <mergeCell ref="F14:G14"/>
    <mergeCell ref="H14:I14"/>
    <mergeCell ref="A4:I4"/>
    <mergeCell ref="A5:I5"/>
    <mergeCell ref="A7:A9"/>
    <mergeCell ref="B7:B9"/>
    <mergeCell ref="C7:C9"/>
    <mergeCell ref="D7:E7"/>
    <mergeCell ref="F7:G7"/>
    <mergeCell ref="H7:I7"/>
  </mergeCells>
  <conditionalFormatting sqref="K11">
    <cfRule type="containsText" dxfId="29" priority="3" operator="containsText" text="ложь">
      <formula>NOT(ISERROR(SEARCH("ложь",K11)))</formula>
    </cfRule>
    <cfRule type="containsText" dxfId="28" priority="4" operator="containsText" text="истина">
      <formula>NOT(ISERROR(SEARCH("истина",K11)))</formula>
    </cfRule>
  </conditionalFormatting>
  <conditionalFormatting sqref="K13">
    <cfRule type="containsText" dxfId="27" priority="1" operator="containsText" text="ложь">
      <formula>NOT(ISERROR(SEARCH("ложь",K13)))</formula>
    </cfRule>
    <cfRule type="containsText" dxfId="26" priority="2" operator="containsText" text="истина">
      <formula>NOT(ISERROR(SEARCH("истина",K13)))</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E50" sqref="E50"/>
      <selection pane="topRight" activeCell="E50" sqref="E50"/>
      <selection pane="bottomLeft" activeCell="E50" sqref="E50"/>
      <selection pane="bottomRight" activeCell="E49" sqref="E49"/>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176</v>
      </c>
    </row>
    <row r="2" spans="1:6">
      <c r="F2" s="34" t="s">
        <v>77</v>
      </c>
    </row>
    <row r="4" spans="1:6">
      <c r="A4" s="99" t="s">
        <v>39</v>
      </c>
      <c r="B4" s="99"/>
      <c r="C4" s="99"/>
      <c r="D4" s="99"/>
      <c r="E4" s="99"/>
      <c r="F4" s="99"/>
    </row>
    <row r="5" spans="1:6">
      <c r="A5" s="99" t="str">
        <f>Титульный!$C$15</f>
        <v>Челябинская ТЭЦ-3 (БЛ 3) ДПМ</v>
      </c>
      <c r="B5" s="99"/>
      <c r="C5" s="99"/>
      <c r="D5" s="99"/>
      <c r="E5" s="99"/>
      <c r="F5" s="99"/>
    </row>
    <row r="6" spans="1:6">
      <c r="A6" s="53"/>
      <c r="B6" s="53"/>
      <c r="C6" s="53"/>
      <c r="D6" s="53"/>
      <c r="E6" s="53"/>
      <c r="F6" s="53"/>
    </row>
    <row r="7" spans="1:6" s="8" customFormat="1" ht="38.25">
      <c r="A7" s="100" t="s">
        <v>1</v>
      </c>
      <c r="B7" s="100" t="s">
        <v>9</v>
      </c>
      <c r="C7" s="100" t="s">
        <v>10</v>
      </c>
      <c r="D7" s="54" t="s">
        <v>149</v>
      </c>
      <c r="E7" s="54" t="s">
        <v>150</v>
      </c>
      <c r="F7" s="54" t="s">
        <v>151</v>
      </c>
    </row>
    <row r="8" spans="1:6" s="8" customFormat="1">
      <c r="A8" s="100"/>
      <c r="B8" s="100"/>
      <c r="C8" s="100"/>
      <c r="D8" s="54">
        <f>Титульный!$B$5-2</f>
        <v>2017</v>
      </c>
      <c r="E8" s="54">
        <f>Титульный!$B$5-1</f>
        <v>2018</v>
      </c>
      <c r="F8" s="54">
        <f>Титульный!$B$5</f>
        <v>2019</v>
      </c>
    </row>
    <row r="9" spans="1:6" s="8" customFormat="1">
      <c r="A9" s="100"/>
      <c r="B9" s="100"/>
      <c r="C9" s="100"/>
      <c r="D9" s="54" t="s">
        <v>68</v>
      </c>
      <c r="E9" s="54" t="s">
        <v>68</v>
      </c>
      <c r="F9" s="54" t="s">
        <v>68</v>
      </c>
    </row>
    <row r="10" spans="1:6">
      <c r="A10" s="36" t="s">
        <v>88</v>
      </c>
      <c r="B10" s="37" t="s">
        <v>33</v>
      </c>
      <c r="C10" s="36" t="s">
        <v>35</v>
      </c>
      <c r="D10" s="29">
        <f>[25]Год!$H$11</f>
        <v>233</v>
      </c>
      <c r="E10" s="29">
        <f>'[26]0.1'!$I$11</f>
        <v>233</v>
      </c>
      <c r="F10" s="29">
        <f>'[26]0.1'!$L$11</f>
        <v>233</v>
      </c>
    </row>
    <row r="11" spans="1:6" ht="38.25">
      <c r="A11" s="36" t="s">
        <v>89</v>
      </c>
      <c r="B11" s="37" t="s">
        <v>34</v>
      </c>
      <c r="C11" s="36" t="s">
        <v>35</v>
      </c>
      <c r="D11" s="29">
        <f>[25]Год!$H$12-[25]Год!$H$14</f>
        <v>207.74861972819593</v>
      </c>
      <c r="E11" s="29">
        <f>'[26]0.1'!$I$12</f>
        <v>227.35</v>
      </c>
      <c r="F11" s="29">
        <f>'[26]0.1'!$L$12</f>
        <v>228.39680046500754</v>
      </c>
    </row>
    <row r="12" spans="1:6">
      <c r="A12" s="36" t="s">
        <v>90</v>
      </c>
      <c r="B12" s="37" t="s">
        <v>91</v>
      </c>
      <c r="C12" s="36" t="s">
        <v>152</v>
      </c>
      <c r="D12" s="29">
        <f>'[5]ЧТЭЦ-3 НМ'!$E$7</f>
        <v>1494.9770000000003</v>
      </c>
      <c r="E12" s="29">
        <f>'[26]0.1'!$I$13</f>
        <v>1382.81</v>
      </c>
      <c r="F12" s="29">
        <f>'[26]0.1'!$L$13</f>
        <v>1184.3701000000001</v>
      </c>
    </row>
    <row r="13" spans="1:6">
      <c r="A13" s="36" t="s">
        <v>92</v>
      </c>
      <c r="B13" s="37" t="s">
        <v>93</v>
      </c>
      <c r="C13" s="36" t="s">
        <v>152</v>
      </c>
      <c r="D13" s="29">
        <f>'[5]ЧТЭЦ-3 НМ'!$E$22</f>
        <v>1450.1465290000003</v>
      </c>
      <c r="E13" s="29">
        <f>'[26]0.1'!$I$15</f>
        <v>1340.12</v>
      </c>
      <c r="F13" s="29">
        <f>'[26]0.1'!$L$15</f>
        <v>1144.0811026666668</v>
      </c>
    </row>
    <row r="14" spans="1:6">
      <c r="A14" s="36" t="s">
        <v>94</v>
      </c>
      <c r="B14" s="37" t="s">
        <v>95</v>
      </c>
      <c r="C14" s="36" t="s">
        <v>96</v>
      </c>
      <c r="D14" s="29">
        <f>'[5]ЧТЭЦ-3 НМ'!$E$23</f>
        <v>272.57100000000003</v>
      </c>
      <c r="E14" s="29">
        <f>'[26]0.1'!$I$16</f>
        <v>217.24700000000001</v>
      </c>
      <c r="F14" s="29">
        <f>'[26]0.1'!$L$16</f>
        <v>166.33368000000002</v>
      </c>
    </row>
    <row r="15" spans="1:6">
      <c r="A15" s="36" t="s">
        <v>97</v>
      </c>
      <c r="B15" s="37" t="s">
        <v>98</v>
      </c>
      <c r="C15" s="36" t="s">
        <v>96</v>
      </c>
      <c r="D15" s="29">
        <f>'[5]ЧТЭЦ-3 НМ'!$E$26</f>
        <v>272.57100000000003</v>
      </c>
      <c r="E15" s="29">
        <f>'[26]0.1'!$I$17</f>
        <v>217.24700000000001</v>
      </c>
      <c r="F15" s="29">
        <f>'[26]0.1'!$L$17</f>
        <v>166.33368000000002</v>
      </c>
    </row>
    <row r="16" spans="1:6">
      <c r="A16" s="36" t="s">
        <v>99</v>
      </c>
      <c r="B16" s="37" t="s">
        <v>11</v>
      </c>
      <c r="C16" s="36" t="s">
        <v>100</v>
      </c>
      <c r="D16" s="40"/>
      <c r="E16" s="29">
        <f>'[26]0.1'!$I$43</f>
        <v>1024403.4404604072</v>
      </c>
      <c r="F16" s="29">
        <f>'[26]0.1'!$L$43</f>
        <v>913069.43708480522</v>
      </c>
    </row>
    <row r="17" spans="1:8">
      <c r="A17" s="36" t="s">
        <v>101</v>
      </c>
      <c r="B17" s="38" t="s">
        <v>14</v>
      </c>
      <c r="C17" s="36" t="s">
        <v>100</v>
      </c>
      <c r="D17" s="40"/>
      <c r="E17" s="29">
        <f>'[26]0.1'!$G$43</f>
        <v>1024403.4404604072</v>
      </c>
      <c r="F17" s="29">
        <f>'[26]0.1'!$J$43</f>
        <v>913069.43708480522</v>
      </c>
    </row>
    <row r="18" spans="1:8">
      <c r="A18" s="36" t="s">
        <v>102</v>
      </c>
      <c r="B18" s="38" t="s">
        <v>15</v>
      </c>
      <c r="C18" s="36" t="s">
        <v>100</v>
      </c>
      <c r="D18" s="40"/>
      <c r="E18" s="29">
        <f>'[26]0.1'!$H$43</f>
        <v>0</v>
      </c>
      <c r="F18" s="29">
        <f>'[26]0.1'!$K$43</f>
        <v>0</v>
      </c>
    </row>
    <row r="19" spans="1:8" ht="25.5">
      <c r="A19" s="36" t="s">
        <v>103</v>
      </c>
      <c r="B19" s="38" t="s">
        <v>16</v>
      </c>
      <c r="C19" s="36" t="s">
        <v>100</v>
      </c>
      <c r="D19" s="41"/>
      <c r="E19" s="41"/>
      <c r="F19" s="41"/>
    </row>
    <row r="20" spans="1:8">
      <c r="A20" s="36" t="s">
        <v>104</v>
      </c>
      <c r="B20" s="37" t="s">
        <v>105</v>
      </c>
      <c r="C20" s="36" t="s">
        <v>100</v>
      </c>
      <c r="D20" s="29">
        <f>'[5]ЧТЭЦ-3 НМ'!$E$235</f>
        <v>1334092.77171</v>
      </c>
      <c r="E20" s="29">
        <f>'[26]0.1'!$I$31</f>
        <v>1095224.5644611781</v>
      </c>
      <c r="F20" s="29">
        <f>'[26]0.1'!$L$31</f>
        <v>992902.35048275301</v>
      </c>
      <c r="G20" s="47"/>
      <c r="H20" s="47"/>
    </row>
    <row r="21" spans="1:8">
      <c r="A21" s="36" t="s">
        <v>106</v>
      </c>
      <c r="B21" s="38" t="s">
        <v>107</v>
      </c>
      <c r="C21" s="36" t="s">
        <v>100</v>
      </c>
      <c r="D21" s="29">
        <f>'[5]ЧТЭЦ-3 НМ'!$E$255</f>
        <v>1241897.06088</v>
      </c>
      <c r="E21" s="29">
        <f>'[26]0.1'!$I$32</f>
        <v>1022902.3988508071</v>
      </c>
      <c r="F21" s="29">
        <f>'[26]0.1'!$L$32</f>
        <v>911729.20899749175</v>
      </c>
      <c r="G21" s="47"/>
      <c r="H21" s="47"/>
    </row>
    <row r="22" spans="1:8" ht="25.5">
      <c r="A22" s="36"/>
      <c r="B22" s="38" t="s">
        <v>108</v>
      </c>
      <c r="C22" s="36" t="s">
        <v>36</v>
      </c>
      <c r="D22" s="29">
        <f>'[5]ЧТЭЦ-3 НМ'!$E$31</f>
        <v>247.44184320599862</v>
      </c>
      <c r="E22" s="29">
        <f>'[26]4'!$L$24</f>
        <v>248.5</v>
      </c>
      <c r="F22" s="29">
        <f>'[26]4'!$M$24</f>
        <v>251.36123397299556</v>
      </c>
      <c r="G22" s="47"/>
      <c r="H22" s="47"/>
    </row>
    <row r="23" spans="1:8">
      <c r="A23" s="36" t="s">
        <v>109</v>
      </c>
      <c r="B23" s="38" t="s">
        <v>110</v>
      </c>
      <c r="C23" s="36" t="s">
        <v>100</v>
      </c>
      <c r="D23" s="29">
        <f>D20-D21</f>
        <v>92195.710829999996</v>
      </c>
      <c r="E23" s="29">
        <f>'[26]0.1'!$I$33</f>
        <v>72322.165610371041</v>
      </c>
      <c r="F23" s="29">
        <f>'[26]0.1'!$L$33</f>
        <v>81173.141485261265</v>
      </c>
    </row>
    <row r="24" spans="1:8">
      <c r="A24" s="36"/>
      <c r="B24" s="38" t="s">
        <v>111</v>
      </c>
      <c r="C24" s="36" t="s">
        <v>112</v>
      </c>
      <c r="D24" s="29">
        <f>'[5]ЧТЭЦ-3 НМ'!$E$36</f>
        <v>99.016403065623237</v>
      </c>
      <c r="E24" s="29">
        <f>'[26]4'!$L$28</f>
        <v>108.7</v>
      </c>
      <c r="F24" s="29">
        <f>'[26]4'!$M$28</f>
        <v>154.54431969340186</v>
      </c>
    </row>
    <row r="25" spans="1:8" ht="25.5">
      <c r="A25" s="36"/>
      <c r="B25" s="9" t="s">
        <v>113</v>
      </c>
      <c r="C25" s="36" t="s">
        <v>32</v>
      </c>
      <c r="D25" s="54" t="s">
        <v>195</v>
      </c>
      <c r="E25" s="67" t="s">
        <v>195</v>
      </c>
      <c r="F25" s="41"/>
    </row>
    <row r="26" spans="1:8">
      <c r="A26" s="36" t="s">
        <v>114</v>
      </c>
      <c r="B26" s="9" t="s">
        <v>17</v>
      </c>
      <c r="C26" s="36" t="s">
        <v>100</v>
      </c>
      <c r="D26" s="41"/>
      <c r="E26" s="41"/>
      <c r="F26" s="41"/>
    </row>
    <row r="27" spans="1:8" ht="25.5">
      <c r="A27" s="36" t="s">
        <v>115</v>
      </c>
      <c r="B27" s="9" t="s">
        <v>12</v>
      </c>
      <c r="C27" s="36" t="s">
        <v>32</v>
      </c>
      <c r="D27" s="41"/>
      <c r="E27" s="41"/>
      <c r="F27" s="41"/>
    </row>
    <row r="28" spans="1:8">
      <c r="A28" s="36" t="s">
        <v>116</v>
      </c>
      <c r="B28" s="38" t="s">
        <v>117</v>
      </c>
      <c r="C28" s="36" t="s">
        <v>118</v>
      </c>
      <c r="D28" s="41"/>
      <c r="E28" s="41"/>
      <c r="F28" s="41"/>
    </row>
    <row r="29" spans="1:8" ht="25.5">
      <c r="A29" s="39" t="s">
        <v>119</v>
      </c>
      <c r="B29" s="38" t="s">
        <v>120</v>
      </c>
      <c r="C29" s="54" t="s">
        <v>121</v>
      </c>
      <c r="D29" s="41"/>
      <c r="E29" s="41"/>
      <c r="F29" s="41"/>
    </row>
    <row r="30" spans="1:8" ht="25.5">
      <c r="A30" s="36" t="s">
        <v>122</v>
      </c>
      <c r="B30" s="38" t="s">
        <v>123</v>
      </c>
      <c r="C30" s="36" t="s">
        <v>32</v>
      </c>
      <c r="D30" s="41"/>
      <c r="E30" s="41"/>
      <c r="F30" s="41"/>
    </row>
    <row r="31" spans="1:8">
      <c r="A31" s="36" t="s">
        <v>124</v>
      </c>
      <c r="B31" s="9" t="s">
        <v>125</v>
      </c>
      <c r="C31" s="36" t="s">
        <v>100</v>
      </c>
      <c r="D31" s="29">
        <f>('[6]ЧТЭЦ-3'!$N$12+'[6]ЧТЭЦ-3'!$V$12+'[6]ЧТЭЦ-3'!$AH$12)/1000</f>
        <v>2240398.2981200004</v>
      </c>
      <c r="E31" s="41"/>
      <c r="F31" s="41"/>
      <c r="G31" s="47"/>
    </row>
    <row r="32" spans="1:8">
      <c r="A32" s="36" t="s">
        <v>126</v>
      </c>
      <c r="B32" s="38" t="s">
        <v>18</v>
      </c>
      <c r="C32" s="36" t="s">
        <v>100</v>
      </c>
      <c r="D32" s="29">
        <f>'[6]ЧТЭЦ-3'!$N$12/1000</f>
        <v>1496527.9430800001</v>
      </c>
      <c r="E32" s="41"/>
      <c r="F32" s="41"/>
    </row>
    <row r="33" spans="1:6">
      <c r="A33" s="36" t="s">
        <v>127</v>
      </c>
      <c r="B33" s="38" t="s">
        <v>19</v>
      </c>
      <c r="C33" s="36" t="s">
        <v>100</v>
      </c>
      <c r="D33" s="29">
        <f>'[6]ЧТЭЦ-3'!$V$12/1000</f>
        <v>610568.45654000004</v>
      </c>
      <c r="E33" s="41"/>
      <c r="F33" s="41"/>
    </row>
    <row r="34" spans="1:6" ht="25.5">
      <c r="A34" s="36" t="s">
        <v>128</v>
      </c>
      <c r="B34" s="38" t="s">
        <v>20</v>
      </c>
      <c r="C34" s="36" t="s">
        <v>100</v>
      </c>
      <c r="D34" s="29">
        <f>'[6]ЧТЭЦ-3'!$AH$12/1000</f>
        <v>133301.89850000001</v>
      </c>
      <c r="E34" s="41"/>
      <c r="F34" s="41"/>
    </row>
    <row r="35" spans="1:6">
      <c r="A35" s="36" t="s">
        <v>179</v>
      </c>
      <c r="B35" s="38" t="s">
        <v>180</v>
      </c>
      <c r="C35" s="36" t="s">
        <v>100</v>
      </c>
      <c r="D35" s="29">
        <v>0</v>
      </c>
      <c r="E35" s="41"/>
      <c r="F35" s="41"/>
    </row>
    <row r="36" spans="1:6">
      <c r="A36" s="36" t="s">
        <v>129</v>
      </c>
      <c r="B36" s="9" t="s">
        <v>130</v>
      </c>
      <c r="C36" s="36" t="s">
        <v>100</v>
      </c>
      <c r="D36" s="41"/>
      <c r="E36" s="41"/>
      <c r="F36" s="41"/>
    </row>
    <row r="37" spans="1:6">
      <c r="A37" s="36" t="s">
        <v>131</v>
      </c>
      <c r="B37" s="38" t="s">
        <v>21</v>
      </c>
      <c r="C37" s="36" t="s">
        <v>100</v>
      </c>
      <c r="D37" s="41"/>
      <c r="E37" s="41"/>
      <c r="F37" s="41"/>
    </row>
    <row r="38" spans="1:6">
      <c r="A38" s="36" t="s">
        <v>132</v>
      </c>
      <c r="B38" s="38" t="s">
        <v>40</v>
      </c>
      <c r="C38" s="36" t="s">
        <v>100</v>
      </c>
      <c r="D38" s="41"/>
      <c r="E38" s="41"/>
      <c r="F38" s="41"/>
    </row>
    <row r="39" spans="1:6">
      <c r="A39" s="36" t="s">
        <v>133</v>
      </c>
      <c r="B39" s="9" t="s">
        <v>134</v>
      </c>
      <c r="C39" s="36" t="s">
        <v>100</v>
      </c>
      <c r="D39" s="41"/>
      <c r="E39" s="41"/>
      <c r="F39" s="41"/>
    </row>
    <row r="40" spans="1:6">
      <c r="A40" s="36" t="s">
        <v>135</v>
      </c>
      <c r="B40" s="38" t="s">
        <v>18</v>
      </c>
      <c r="C40" s="36" t="s">
        <v>100</v>
      </c>
      <c r="D40" s="41"/>
      <c r="E40" s="41"/>
      <c r="F40" s="41"/>
    </row>
    <row r="41" spans="1:6">
      <c r="A41" s="36" t="s">
        <v>136</v>
      </c>
      <c r="B41" s="38" t="s">
        <v>19</v>
      </c>
      <c r="C41" s="36" t="s">
        <v>100</v>
      </c>
      <c r="D41" s="41"/>
      <c r="E41" s="41"/>
      <c r="F41" s="41"/>
    </row>
    <row r="42" spans="1:6" ht="25.5">
      <c r="A42" s="36" t="s">
        <v>137</v>
      </c>
      <c r="B42" s="38" t="s">
        <v>20</v>
      </c>
      <c r="C42" s="36" t="s">
        <v>100</v>
      </c>
      <c r="D42" s="41"/>
      <c r="E42" s="41"/>
      <c r="F42" s="41"/>
    </row>
    <row r="43" spans="1:6" ht="25.5">
      <c r="A43" s="36" t="s">
        <v>138</v>
      </c>
      <c r="B43" s="9" t="s">
        <v>139</v>
      </c>
      <c r="C43" s="36" t="s">
        <v>100</v>
      </c>
      <c r="D43" s="41"/>
      <c r="E43" s="41"/>
      <c r="F43" s="41"/>
    </row>
    <row r="44" spans="1:6">
      <c r="A44" s="36" t="s">
        <v>140</v>
      </c>
      <c r="B44" s="38" t="s">
        <v>18</v>
      </c>
      <c r="C44" s="36" t="s">
        <v>100</v>
      </c>
      <c r="D44" s="41"/>
      <c r="E44" s="41"/>
      <c r="F44" s="41"/>
    </row>
    <row r="45" spans="1:6">
      <c r="A45" s="36" t="s">
        <v>141</v>
      </c>
      <c r="B45" s="38" t="s">
        <v>19</v>
      </c>
      <c r="C45" s="36" t="s">
        <v>100</v>
      </c>
      <c r="D45" s="41"/>
      <c r="E45" s="41"/>
      <c r="F45" s="41"/>
    </row>
    <row r="46" spans="1:6" ht="25.5">
      <c r="A46" s="36" t="s">
        <v>142</v>
      </c>
      <c r="B46" s="38" t="s">
        <v>20</v>
      </c>
      <c r="C46" s="36" t="s">
        <v>100</v>
      </c>
      <c r="D46" s="41"/>
      <c r="E46" s="41"/>
      <c r="F46" s="41"/>
    </row>
    <row r="47" spans="1:6">
      <c r="A47" s="36" t="s">
        <v>143</v>
      </c>
      <c r="B47" s="9" t="s">
        <v>178</v>
      </c>
      <c r="C47" s="36" t="s">
        <v>100</v>
      </c>
      <c r="D47" s="52">
        <v>12200091</v>
      </c>
      <c r="E47" s="41"/>
      <c r="F47" s="41"/>
    </row>
    <row r="48" spans="1:6" ht="25.5">
      <c r="A48" s="36" t="s">
        <v>144</v>
      </c>
      <c r="B48" s="9" t="s">
        <v>177</v>
      </c>
      <c r="C48" s="36" t="s">
        <v>145</v>
      </c>
      <c r="D48" s="31">
        <f>19896480/65281414</f>
        <v>0.30478016300320948</v>
      </c>
      <c r="E48" s="41"/>
      <c r="F48" s="41"/>
    </row>
    <row r="49" spans="1:6" ht="229.5">
      <c r="A49" s="36" t="s">
        <v>146</v>
      </c>
      <c r="B49" s="9" t="s">
        <v>13</v>
      </c>
      <c r="C49" s="36" t="s">
        <v>32</v>
      </c>
      <c r="D49" s="9" t="s">
        <v>197</v>
      </c>
      <c r="E49" s="9" t="s">
        <v>200</v>
      </c>
      <c r="F49" s="9" t="s">
        <v>147</v>
      </c>
    </row>
    <row r="50" spans="1:6">
      <c r="B50" s="8"/>
    </row>
    <row r="51" spans="1:6">
      <c r="A51" s="98" t="s">
        <v>148</v>
      </c>
      <c r="B51" s="98"/>
      <c r="C51" s="98"/>
      <c r="D51" s="98"/>
      <c r="E51" s="98"/>
      <c r="F51" s="98"/>
    </row>
    <row r="52" spans="1:6">
      <c r="A52" s="98" t="s">
        <v>186</v>
      </c>
      <c r="B52" s="98"/>
      <c r="C52" s="98"/>
      <c r="D52" s="98"/>
      <c r="E52" s="98"/>
      <c r="F52" s="98"/>
    </row>
  </sheetData>
  <mergeCells count="7">
    <mergeCell ref="A51:F51"/>
    <mergeCell ref="A52:F52"/>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activeCell="L20" sqref="L20"/>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175</v>
      </c>
    </row>
    <row r="2" spans="1:11">
      <c r="F2" s="27"/>
      <c r="I2" s="26" t="s">
        <v>77</v>
      </c>
    </row>
    <row r="3" spans="1:11">
      <c r="B3" s="64"/>
      <c r="F3" s="27"/>
    </row>
    <row r="4" spans="1:11">
      <c r="A4" s="79" t="s">
        <v>41</v>
      </c>
      <c r="B4" s="97"/>
      <c r="C4" s="97"/>
      <c r="D4" s="97"/>
      <c r="E4" s="97"/>
      <c r="F4" s="97"/>
      <c r="G4" s="97"/>
      <c r="H4" s="97"/>
      <c r="I4" s="97"/>
    </row>
    <row r="5" spans="1:11">
      <c r="A5" s="79" t="str">
        <f>Титульный!$C$15</f>
        <v>Челябинская ТЭЦ-3 (БЛ 3) ДПМ</v>
      </c>
      <c r="B5" s="97"/>
      <c r="C5" s="97"/>
      <c r="D5" s="97"/>
      <c r="E5" s="97"/>
      <c r="F5" s="97"/>
      <c r="G5" s="97"/>
      <c r="H5" s="97"/>
      <c r="I5" s="97"/>
    </row>
    <row r="7" spans="1:11" s="3" customFormat="1" ht="32.25" customHeight="1">
      <c r="A7" s="101" t="s">
        <v>87</v>
      </c>
      <c r="B7" s="101" t="s">
        <v>9</v>
      </c>
      <c r="C7" s="101" t="s">
        <v>153</v>
      </c>
      <c r="D7" s="101" t="s">
        <v>173</v>
      </c>
      <c r="E7" s="101"/>
      <c r="F7" s="101" t="s">
        <v>150</v>
      </c>
      <c r="G7" s="101"/>
      <c r="H7" s="101" t="s">
        <v>151</v>
      </c>
      <c r="I7" s="101"/>
      <c r="K7" s="56"/>
    </row>
    <row r="8" spans="1:11" s="3" customFormat="1">
      <c r="A8" s="101"/>
      <c r="B8" s="101"/>
      <c r="C8" s="101"/>
      <c r="D8" s="42">
        <f>Титульный!$B$5-2</f>
        <v>2017</v>
      </c>
      <c r="E8" s="43" t="s">
        <v>68</v>
      </c>
      <c r="F8" s="42">
        <f>Титульный!$B$5-1</f>
        <v>2018</v>
      </c>
      <c r="G8" s="43" t="s">
        <v>68</v>
      </c>
      <c r="H8" s="42">
        <f>Титульный!$B$5</f>
        <v>2019</v>
      </c>
      <c r="I8" s="43" t="s">
        <v>68</v>
      </c>
      <c r="K8" s="56"/>
    </row>
    <row r="9" spans="1:11" s="3" customFormat="1">
      <c r="A9" s="101"/>
      <c r="B9" s="101"/>
      <c r="C9" s="101"/>
      <c r="D9" s="55" t="s">
        <v>22</v>
      </c>
      <c r="E9" s="55" t="s">
        <v>23</v>
      </c>
      <c r="F9" s="55" t="s">
        <v>22</v>
      </c>
      <c r="G9" s="55" t="s">
        <v>23</v>
      </c>
      <c r="H9" s="55" t="s">
        <v>22</v>
      </c>
      <c r="I9" s="55" t="s">
        <v>23</v>
      </c>
    </row>
    <row r="10" spans="1:11" ht="12.75" customHeight="1">
      <c r="A10" s="102" t="s">
        <v>170</v>
      </c>
      <c r="B10" s="103"/>
      <c r="C10" s="103"/>
      <c r="D10" s="103"/>
      <c r="E10" s="103"/>
      <c r="F10" s="103"/>
      <c r="G10" s="103"/>
      <c r="H10" s="103"/>
      <c r="I10" s="104"/>
    </row>
    <row r="11" spans="1:11" ht="12.75" customHeight="1">
      <c r="A11" s="54" t="s">
        <v>154</v>
      </c>
      <c r="B11" s="37" t="s">
        <v>155</v>
      </c>
      <c r="C11" s="36" t="s">
        <v>168</v>
      </c>
      <c r="D11" s="29">
        <f>'[7]Утв. тарифы на ЭЭ и ЭМ'!$E$18</f>
        <v>725.36</v>
      </c>
      <c r="E11" s="29">
        <f>'[7]Утв. тарифы на ЭЭ и ЭМ'!$F$18</f>
        <v>739.83</v>
      </c>
      <c r="F11" s="29">
        <f>E11</f>
        <v>739.83</v>
      </c>
      <c r="G11" s="29">
        <f>'[26]0.1'!$G$20</f>
        <v>764.41172466675164</v>
      </c>
      <c r="H11" s="105">
        <f>'[26]0.1'!$L$20</f>
        <v>798.08104072044284</v>
      </c>
      <c r="I11" s="106"/>
      <c r="K11" s="65" t="b">
        <f>ROUND([9]Лист1!$D$90,1)=ROUND(H11,1)</f>
        <v>1</v>
      </c>
    </row>
    <row r="12" spans="1:11" ht="12.75" customHeight="1">
      <c r="A12" s="54"/>
      <c r="B12" s="45" t="s">
        <v>171</v>
      </c>
      <c r="C12" s="36" t="s">
        <v>168</v>
      </c>
      <c r="D12" s="29">
        <f>('[5]ЧТЭЦ-3 НМ'!$F$255+'[5]ЧТЭЦ-3 НМ'!$G$255+'[5]ЧТЭЦ-3 НМ'!$H$255+'[5]ЧТЭЦ-3 НМ'!$J$255+'[5]ЧТЭЦ-3 НМ'!$K$255+'[5]ЧТЭЦ-3 НМ'!$L$255)/('[5]ЧТЭЦ-3 НМ'!$F$22+'[5]ЧТЭЦ-3 НМ'!$G$22+'[5]ЧТЭЦ-3 НМ'!$H$22+'[5]ЧТЭЦ-3 НМ'!$J$22+'[5]ЧТЭЦ-3 НМ'!$K$22+'[5]ЧТЭЦ-3 НМ'!$L$22)</f>
        <v>817.79753720764324</v>
      </c>
      <c r="E12" s="29">
        <f>('[5]ЧТЭЦ-3 НМ'!$N$255+'[5]ЧТЭЦ-3 НМ'!$O$255+'[5]ЧТЭЦ-3 НМ'!$P$255+'[5]ЧТЭЦ-3 НМ'!$R$255+'[5]ЧТЭЦ-3 НМ'!$S$255+'[5]ЧТЭЦ-3 НМ'!$T$255)/('[5]ЧТЭЦ-3 НМ'!$N$22+'[5]ЧТЭЦ-3 НМ'!$O$22+'[5]ЧТЭЦ-3 НМ'!$P$22+'[5]ЧТЭЦ-3 НМ'!$R$22+'[5]ЧТЭЦ-3 НМ'!$S$22+'[5]ЧТЭЦ-3 НМ'!$T$22)</f>
        <v>888.27214020583256</v>
      </c>
      <c r="F12" s="29">
        <f>'[26]2.2'!$G$170</f>
        <v>738.75296719462665</v>
      </c>
      <c r="G12" s="29">
        <f>'[26]2.1'!$G$170</f>
        <v>763.29164466675161</v>
      </c>
      <c r="H12" s="105">
        <f>'[26]2'!$G$170</f>
        <v>796.90959572044278</v>
      </c>
      <c r="I12" s="106"/>
    </row>
    <row r="13" spans="1:11" ht="12.75" customHeight="1">
      <c r="A13" s="54" t="s">
        <v>156</v>
      </c>
      <c r="B13" s="37" t="s">
        <v>157</v>
      </c>
      <c r="C13" s="36" t="s">
        <v>158</v>
      </c>
      <c r="D13" s="44"/>
      <c r="E13" s="44"/>
      <c r="F13" s="44"/>
      <c r="G13" s="44"/>
      <c r="H13" s="44"/>
      <c r="I13" s="44"/>
    </row>
    <row r="14" spans="1:11" ht="27.75" customHeight="1">
      <c r="A14" s="54" t="s">
        <v>159</v>
      </c>
      <c r="B14" s="37" t="s">
        <v>174</v>
      </c>
      <c r="C14" s="36" t="s">
        <v>47</v>
      </c>
      <c r="D14" s="105">
        <f>'ЧТЭЦ-1 ДМ_П5'!D14:E14</f>
        <v>641.93004009946117</v>
      </c>
      <c r="E14" s="106"/>
      <c r="F14" s="105">
        <f>'ЧТЭЦ-1 ДМ_П5'!F14:G14</f>
        <v>641.81403648616254</v>
      </c>
      <c r="G14" s="106"/>
      <c r="H14" s="105">
        <f>'ЧТЭЦ-1 ДМ_П5'!H14:I14</f>
        <v>971.98007895896069</v>
      </c>
      <c r="I14" s="106"/>
      <c r="K14" s="65"/>
    </row>
    <row r="15" spans="1:11" ht="26.25" customHeight="1">
      <c r="A15" s="54" t="s">
        <v>160</v>
      </c>
      <c r="B15" s="46" t="s">
        <v>48</v>
      </c>
      <c r="C15" s="36" t="s">
        <v>47</v>
      </c>
      <c r="D15" s="29">
        <f>'ЧТЭЦ-1 ДМ_П5'!D15</f>
        <v>641.62</v>
      </c>
      <c r="E15" s="29">
        <f>'ЧТЭЦ-1 ДМ_П5'!E15</f>
        <v>641.62</v>
      </c>
      <c r="F15" s="29">
        <f>'ЧТЭЦ-1 ДМ_П5'!F15</f>
        <v>641.62</v>
      </c>
      <c r="G15" s="29">
        <f>'ЧТЭЦ-1 ДМ_П5'!G15</f>
        <v>641.62</v>
      </c>
      <c r="H15" s="105">
        <f>'ЧТЭЦ-1 ДМ_П5'!H15:I15</f>
        <v>971.50953804854021</v>
      </c>
      <c r="I15" s="106"/>
    </row>
    <row r="16" spans="1:11" ht="12.75" customHeight="1">
      <c r="A16" s="54" t="s">
        <v>161</v>
      </c>
      <c r="B16" s="46" t="s">
        <v>49</v>
      </c>
      <c r="C16" s="36" t="s">
        <v>47</v>
      </c>
      <c r="D16" s="44"/>
      <c r="E16" s="44"/>
      <c r="F16" s="44"/>
      <c r="G16" s="44"/>
      <c r="H16" s="44"/>
      <c r="I16" s="44"/>
    </row>
    <row r="17" spans="1:9" ht="12.75" customHeight="1">
      <c r="A17" s="54"/>
      <c r="B17" s="38" t="s">
        <v>50</v>
      </c>
      <c r="C17" s="36" t="s">
        <v>47</v>
      </c>
      <c r="D17" s="44"/>
      <c r="E17" s="44"/>
      <c r="F17" s="44"/>
      <c r="G17" s="44"/>
      <c r="H17" s="44"/>
      <c r="I17" s="44"/>
    </row>
    <row r="18" spans="1:9" ht="12.75" customHeight="1">
      <c r="A18" s="54"/>
      <c r="B18" s="38" t="s">
        <v>51</v>
      </c>
      <c r="C18" s="36" t="s">
        <v>47</v>
      </c>
      <c r="D18" s="44"/>
      <c r="E18" s="44"/>
      <c r="F18" s="44"/>
      <c r="G18" s="44"/>
      <c r="H18" s="44"/>
      <c r="I18" s="44"/>
    </row>
    <row r="19" spans="1:9" ht="12.75" customHeight="1">
      <c r="A19" s="54"/>
      <c r="B19" s="38" t="s">
        <v>52</v>
      </c>
      <c r="C19" s="36" t="s">
        <v>47</v>
      </c>
      <c r="D19" s="44"/>
      <c r="E19" s="44"/>
      <c r="F19" s="44"/>
      <c r="G19" s="44"/>
      <c r="H19" s="44"/>
      <c r="I19" s="44"/>
    </row>
    <row r="20" spans="1:9" ht="12.75" customHeight="1">
      <c r="A20" s="54"/>
      <c r="B20" s="38" t="s">
        <v>53</v>
      </c>
      <c r="C20" s="36" t="s">
        <v>47</v>
      </c>
      <c r="D20" s="44"/>
      <c r="E20" s="44"/>
      <c r="F20" s="44"/>
      <c r="G20" s="44"/>
      <c r="H20" s="44"/>
      <c r="I20" s="44"/>
    </row>
    <row r="21" spans="1:9" ht="12.75" customHeight="1">
      <c r="A21" s="54" t="s">
        <v>162</v>
      </c>
      <c r="B21" s="46" t="s">
        <v>54</v>
      </c>
      <c r="C21" s="36" t="s">
        <v>47</v>
      </c>
      <c r="D21" s="44"/>
      <c r="E21" s="44"/>
      <c r="F21" s="44"/>
      <c r="G21" s="44"/>
      <c r="H21" s="44"/>
      <c r="I21" s="44"/>
    </row>
    <row r="22" spans="1:9" ht="12.75" customHeight="1">
      <c r="A22" s="54" t="s">
        <v>163</v>
      </c>
      <c r="B22" s="37" t="s">
        <v>55</v>
      </c>
      <c r="C22" s="36" t="s">
        <v>32</v>
      </c>
      <c r="D22" s="44"/>
      <c r="E22" s="44"/>
      <c r="F22" s="44"/>
      <c r="G22" s="44"/>
      <c r="H22" s="44"/>
      <c r="I22" s="44"/>
    </row>
    <row r="23" spans="1:9" ht="25.5" customHeight="1">
      <c r="A23" s="54" t="s">
        <v>164</v>
      </c>
      <c r="B23" s="38" t="s">
        <v>56</v>
      </c>
      <c r="C23" s="54" t="s">
        <v>57</v>
      </c>
      <c r="D23" s="44"/>
      <c r="E23" s="44"/>
      <c r="F23" s="44"/>
      <c r="G23" s="44"/>
      <c r="H23" s="44"/>
      <c r="I23" s="44"/>
    </row>
    <row r="24" spans="1:9" ht="12.75" customHeight="1">
      <c r="A24" s="54" t="s">
        <v>165</v>
      </c>
      <c r="B24" s="46" t="s">
        <v>58</v>
      </c>
      <c r="C24" s="36" t="s">
        <v>47</v>
      </c>
      <c r="D24" s="44"/>
      <c r="E24" s="44"/>
      <c r="F24" s="44"/>
      <c r="G24" s="44"/>
      <c r="H24" s="44"/>
      <c r="I24" s="44"/>
    </row>
    <row r="25" spans="1:9" ht="12.75" customHeight="1">
      <c r="A25" s="54" t="s">
        <v>166</v>
      </c>
      <c r="B25" s="37" t="s">
        <v>59</v>
      </c>
      <c r="C25" s="36" t="s">
        <v>169</v>
      </c>
      <c r="D25" s="44"/>
      <c r="E25" s="44"/>
      <c r="F25" s="44"/>
      <c r="G25" s="44"/>
      <c r="H25" s="44"/>
      <c r="I25" s="44"/>
    </row>
    <row r="26" spans="1:9" ht="15" customHeight="1">
      <c r="A26" s="54"/>
      <c r="B26" s="38" t="s">
        <v>60</v>
      </c>
      <c r="C26" s="36" t="s">
        <v>169</v>
      </c>
      <c r="D26" s="44"/>
      <c r="E26" s="44"/>
      <c r="F26" s="44"/>
      <c r="G26" s="44"/>
      <c r="H26" s="44"/>
      <c r="I26" s="44"/>
    </row>
    <row r="27" spans="1:9">
      <c r="A27" s="54"/>
      <c r="B27" s="38" t="s">
        <v>61</v>
      </c>
      <c r="C27" s="36" t="s">
        <v>169</v>
      </c>
      <c r="D27" s="44"/>
      <c r="E27" s="44"/>
      <c r="F27" s="44"/>
      <c r="G27" s="44"/>
      <c r="H27" s="44"/>
      <c r="I27" s="44"/>
    </row>
    <row r="28" spans="1:9">
      <c r="A28" s="8"/>
      <c r="B28" s="33"/>
      <c r="C28" s="32"/>
      <c r="D28" s="33"/>
      <c r="E28" s="33"/>
      <c r="F28" s="33"/>
      <c r="G28" s="33"/>
      <c r="H28" s="33"/>
      <c r="I28" s="33"/>
    </row>
    <row r="29" spans="1:9">
      <c r="A29" s="98" t="s">
        <v>167</v>
      </c>
      <c r="B29" s="98"/>
      <c r="C29" s="98"/>
      <c r="D29" s="98"/>
      <c r="E29" s="98"/>
      <c r="F29" s="98"/>
      <c r="G29" s="98"/>
      <c r="H29" s="98"/>
      <c r="I29" s="98"/>
    </row>
    <row r="30" spans="1:9">
      <c r="A30" s="98" t="s">
        <v>172</v>
      </c>
      <c r="B30" s="98"/>
      <c r="C30" s="98"/>
      <c r="D30" s="98"/>
      <c r="E30" s="98"/>
      <c r="F30" s="98"/>
      <c r="G30" s="98"/>
      <c r="H30" s="98"/>
      <c r="I30" s="98"/>
    </row>
    <row r="31" spans="1:9">
      <c r="A31" s="98" t="s">
        <v>181</v>
      </c>
      <c r="B31" s="98"/>
      <c r="C31" s="98"/>
      <c r="D31" s="98"/>
      <c r="E31" s="98"/>
      <c r="F31" s="98"/>
      <c r="G31" s="98"/>
      <c r="H31" s="98"/>
      <c r="I31" s="98"/>
    </row>
    <row r="32" spans="1:9">
      <c r="A32" s="98" t="s">
        <v>182</v>
      </c>
      <c r="B32" s="98"/>
      <c r="C32" s="98"/>
      <c r="D32" s="98"/>
      <c r="E32" s="98"/>
      <c r="F32" s="98"/>
      <c r="G32" s="98"/>
      <c r="H32" s="98"/>
      <c r="I32" s="98"/>
    </row>
  </sheetData>
  <mergeCells count="19">
    <mergeCell ref="A4:I4"/>
    <mergeCell ref="A5:I5"/>
    <mergeCell ref="A7:A9"/>
    <mergeCell ref="B7:B9"/>
    <mergeCell ref="C7:C9"/>
    <mergeCell ref="D7:E7"/>
    <mergeCell ref="F7:G7"/>
    <mergeCell ref="H7:I7"/>
    <mergeCell ref="A10:I10"/>
    <mergeCell ref="H11:I11"/>
    <mergeCell ref="H12:I12"/>
    <mergeCell ref="D14:E14"/>
    <mergeCell ref="F14:G14"/>
    <mergeCell ref="H14:I14"/>
    <mergeCell ref="A31:I31"/>
    <mergeCell ref="A32:I32"/>
    <mergeCell ref="H15:I15"/>
    <mergeCell ref="A29:I29"/>
    <mergeCell ref="A30:I30"/>
  </mergeCells>
  <conditionalFormatting sqref="K11">
    <cfRule type="containsText" dxfId="25" priority="3" operator="containsText" text="ложь">
      <formula>NOT(ISERROR(SEARCH("ложь",K11)))</formula>
    </cfRule>
    <cfRule type="containsText" dxfId="24" priority="4" operator="containsText" text="истина">
      <formula>NOT(ISERROR(SEARCH("истина",K11)))</formula>
    </cfRule>
  </conditionalFormatting>
  <conditionalFormatting sqref="K14">
    <cfRule type="containsText" dxfId="23" priority="1" operator="containsText" text="ложь">
      <formula>NOT(ISERROR(SEARCH("ложь",K14)))</formula>
    </cfRule>
    <cfRule type="containsText" dxfId="22" priority="2" operator="containsText" text="истина">
      <formula>NOT(ISERROR(SEARCH("истина",K14)))</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E50" sqref="E50"/>
      <selection pane="topRight" activeCell="E50" sqref="E50"/>
      <selection pane="bottomLeft" activeCell="E50" sqref="E50"/>
      <selection pane="bottomRight"/>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7">
      <c r="F1" s="34" t="s">
        <v>176</v>
      </c>
    </row>
    <row r="2" spans="1:7">
      <c r="F2" s="34" t="s">
        <v>77</v>
      </c>
    </row>
    <row r="3" spans="1:7">
      <c r="B3" s="63"/>
    </row>
    <row r="4" spans="1:7">
      <c r="A4" s="99" t="s">
        <v>39</v>
      </c>
      <c r="B4" s="99"/>
      <c r="C4" s="99"/>
      <c r="D4" s="99"/>
      <c r="E4" s="99"/>
      <c r="F4" s="99"/>
    </row>
    <row r="5" spans="1:7">
      <c r="A5" s="99" t="str">
        <f>Титульный!$C$16</f>
        <v>Челябинская ГРЭС (БЛ 1) ДПМ</v>
      </c>
      <c r="B5" s="99"/>
      <c r="C5" s="99"/>
      <c r="D5" s="99"/>
      <c r="E5" s="99"/>
      <c r="F5" s="99"/>
    </row>
    <row r="6" spans="1:7">
      <c r="A6" s="53"/>
      <c r="B6" s="53"/>
      <c r="C6" s="53"/>
      <c r="D6" s="53"/>
      <c r="E6" s="53"/>
      <c r="F6" s="53"/>
    </row>
    <row r="7" spans="1:7" s="8" customFormat="1" ht="38.25">
      <c r="A7" s="100" t="s">
        <v>1</v>
      </c>
      <c r="B7" s="100" t="s">
        <v>9</v>
      </c>
      <c r="C7" s="100" t="s">
        <v>10</v>
      </c>
      <c r="D7" s="54" t="s">
        <v>149</v>
      </c>
      <c r="E7" s="54" t="s">
        <v>150</v>
      </c>
      <c r="F7" s="54" t="s">
        <v>151</v>
      </c>
    </row>
    <row r="8" spans="1:7" s="8" customFormat="1">
      <c r="A8" s="100"/>
      <c r="B8" s="100"/>
      <c r="C8" s="100"/>
      <c r="D8" s="54">
        <f>Титульный!$B$5-2</f>
        <v>2017</v>
      </c>
      <c r="E8" s="54">
        <f>Титульный!$B$5-1</f>
        <v>2018</v>
      </c>
      <c r="F8" s="54">
        <f>Титульный!$B$5</f>
        <v>2019</v>
      </c>
    </row>
    <row r="9" spans="1:7" s="8" customFormat="1">
      <c r="A9" s="100"/>
      <c r="B9" s="100"/>
      <c r="C9" s="100"/>
      <c r="D9" s="54" t="s">
        <v>68</v>
      </c>
      <c r="E9" s="54" t="s">
        <v>68</v>
      </c>
      <c r="F9" s="54" t="s">
        <v>68</v>
      </c>
      <c r="G9" s="62"/>
    </row>
    <row r="10" spans="1:7">
      <c r="A10" s="36" t="s">
        <v>88</v>
      </c>
      <c r="B10" s="37" t="s">
        <v>33</v>
      </c>
      <c r="C10" s="36" t="s">
        <v>35</v>
      </c>
      <c r="D10" s="29">
        <f>[27]Год!$H$11</f>
        <v>247</v>
      </c>
      <c r="E10" s="29">
        <f>'[28]0.1'!$I$11</f>
        <v>247</v>
      </c>
      <c r="F10" s="29">
        <f>'[28]0.1'!$L$11</f>
        <v>247</v>
      </c>
    </row>
    <row r="11" spans="1:7" ht="38.25">
      <c r="A11" s="36" t="s">
        <v>89</v>
      </c>
      <c r="B11" s="37" t="s">
        <v>34</v>
      </c>
      <c r="C11" s="36" t="s">
        <v>35</v>
      </c>
      <c r="D11" s="29">
        <f>[27]Год!$H$12-[27]Год!$H$14</f>
        <v>236.08434654271204</v>
      </c>
      <c r="E11" s="29">
        <f>'[28]0.1'!$I$12</f>
        <v>235.05375277351084</v>
      </c>
      <c r="F11" s="29">
        <f>'[28]0.1'!$L$12</f>
        <v>234.19825121703789</v>
      </c>
    </row>
    <row r="12" spans="1:7">
      <c r="A12" s="36" t="s">
        <v>90</v>
      </c>
      <c r="B12" s="37" t="s">
        <v>91</v>
      </c>
      <c r="C12" s="36" t="s">
        <v>152</v>
      </c>
      <c r="D12" s="29">
        <f>'[5]ЧГРЭС Б1'!$E$7</f>
        <v>1667.5639999999999</v>
      </c>
      <c r="E12" s="29">
        <f>'[28]0.1'!$I$13</f>
        <v>1679.42</v>
      </c>
      <c r="F12" s="29">
        <f>'[28]0.1'!$L$13</f>
        <v>1490.31764</v>
      </c>
    </row>
    <row r="13" spans="1:7">
      <c r="A13" s="36" t="s">
        <v>92</v>
      </c>
      <c r="B13" s="37" t="s">
        <v>93</v>
      </c>
      <c r="C13" s="36" t="s">
        <v>152</v>
      </c>
      <c r="D13" s="29">
        <f>'[5]ЧГРЭС Б1'!$E$22</f>
        <v>1574.8952959999997</v>
      </c>
      <c r="E13" s="29">
        <f>'[28]0.1'!$I$15</f>
        <v>1620.3200000000002</v>
      </c>
      <c r="F13" s="29">
        <f>'[28]0.1'!$L$15</f>
        <v>1378.22189</v>
      </c>
    </row>
    <row r="14" spans="1:7">
      <c r="A14" s="36" t="s">
        <v>94</v>
      </c>
      <c r="B14" s="37" t="s">
        <v>95</v>
      </c>
      <c r="C14" s="36" t="s">
        <v>96</v>
      </c>
      <c r="D14" s="29">
        <f>'[5]ЧГРЭС Б1'!$E$23</f>
        <v>533.774</v>
      </c>
      <c r="E14" s="29">
        <f>'[28]0.1'!$I$16</f>
        <v>867.92000000000007</v>
      </c>
      <c r="F14" s="29">
        <f>'[28]0.1'!$L$16</f>
        <v>471.18</v>
      </c>
    </row>
    <row r="15" spans="1:7">
      <c r="A15" s="36" t="s">
        <v>97</v>
      </c>
      <c r="B15" s="37" t="s">
        <v>98</v>
      </c>
      <c r="C15" s="36" t="s">
        <v>96</v>
      </c>
      <c r="D15" s="29">
        <f>'[5]ЧГРЭС Б1'!$E$26</f>
        <v>530.58321999999998</v>
      </c>
      <c r="E15" s="29">
        <f>'[28]0.1'!$I$17</f>
        <v>864.52807179809645</v>
      </c>
      <c r="F15" s="29">
        <f>'[28]0.1'!$L$17</f>
        <v>467.17951950399998</v>
      </c>
    </row>
    <row r="16" spans="1:7">
      <c r="A16" s="36" t="s">
        <v>99</v>
      </c>
      <c r="B16" s="37" t="s">
        <v>11</v>
      </c>
      <c r="C16" s="36" t="s">
        <v>100</v>
      </c>
      <c r="D16" s="40"/>
      <c r="E16" s="29">
        <f>'[28]0.1'!$I$43</f>
        <v>1434002.0680556099</v>
      </c>
      <c r="F16" s="29">
        <f>'[28]0.1'!$L$43</f>
        <v>1203563.7071139198</v>
      </c>
    </row>
    <row r="17" spans="1:8">
      <c r="A17" s="36" t="s">
        <v>101</v>
      </c>
      <c r="B17" s="38" t="s">
        <v>14</v>
      </c>
      <c r="C17" s="36" t="s">
        <v>100</v>
      </c>
      <c r="D17" s="40"/>
      <c r="E17" s="29">
        <f>'[28]0.1'!$G$43</f>
        <v>1434002.0680556099</v>
      </c>
      <c r="F17" s="29">
        <f>'[28]0.1'!$J$43</f>
        <v>1203563.7071139198</v>
      </c>
    </row>
    <row r="18" spans="1:8">
      <c r="A18" s="36" t="s">
        <v>102</v>
      </c>
      <c r="B18" s="38" t="s">
        <v>15</v>
      </c>
      <c r="C18" s="36" t="s">
        <v>100</v>
      </c>
      <c r="D18" s="40"/>
      <c r="E18" s="29">
        <f>'[28]0.1'!$H$43</f>
        <v>0</v>
      </c>
      <c r="F18" s="29">
        <f>'[28]0.1'!$K$43</f>
        <v>0</v>
      </c>
    </row>
    <row r="19" spans="1:8" ht="25.5">
      <c r="A19" s="36" t="s">
        <v>103</v>
      </c>
      <c r="B19" s="38" t="s">
        <v>16</v>
      </c>
      <c r="C19" s="36" t="s">
        <v>100</v>
      </c>
      <c r="D19" s="41"/>
      <c r="E19" s="41"/>
      <c r="F19" s="41"/>
    </row>
    <row r="20" spans="1:8">
      <c r="A20" s="36" t="s">
        <v>104</v>
      </c>
      <c r="B20" s="37" t="s">
        <v>105</v>
      </c>
      <c r="C20" s="36" t="s">
        <v>100</v>
      </c>
      <c r="D20" s="29">
        <f>'[5]ЧГРЭС Б1'!$E$235</f>
        <v>1462737.5623999999</v>
      </c>
      <c r="E20" s="29">
        <f>'[28]0.1'!$I$31</f>
        <v>1950375.7699833126</v>
      </c>
      <c r="F20" s="29">
        <f>'[28]0.1'!$L$31</f>
        <v>1496779.8888856869</v>
      </c>
      <c r="G20" s="47"/>
      <c r="H20" s="47"/>
    </row>
    <row r="21" spans="1:8">
      <c r="A21" s="36" t="s">
        <v>106</v>
      </c>
      <c r="B21" s="38" t="s">
        <v>107</v>
      </c>
      <c r="C21" s="36" t="s">
        <v>100</v>
      </c>
      <c r="D21" s="29">
        <f>'[5]ЧГРЭС Б1'!$E$255</f>
        <v>1260622.7581</v>
      </c>
      <c r="E21" s="29">
        <f>'[28]0.1'!$I$32</f>
        <v>1432187.1800300097</v>
      </c>
      <c r="F21" s="29">
        <f>'[28]0.1'!$L$32</f>
        <v>1201949.1959719886</v>
      </c>
      <c r="G21" s="47"/>
      <c r="H21" s="47"/>
    </row>
    <row r="22" spans="1:8" ht="25.5">
      <c r="A22" s="36"/>
      <c r="B22" s="38" t="s">
        <v>108</v>
      </c>
      <c r="C22" s="36" t="s">
        <v>36</v>
      </c>
      <c r="D22" s="29">
        <f>'[5]ЧГРЭС Б1'!$E$31</f>
        <v>235.20879359904501</v>
      </c>
      <c r="E22" s="29">
        <f>'[28]4'!$L$24</f>
        <v>242.2</v>
      </c>
      <c r="F22" s="29">
        <f>'[28]4'!$M$24</f>
        <v>226.12999999999997</v>
      </c>
      <c r="G22" s="47"/>
      <c r="H22" s="47"/>
    </row>
    <row r="23" spans="1:8">
      <c r="A23" s="36" t="s">
        <v>109</v>
      </c>
      <c r="B23" s="38" t="s">
        <v>110</v>
      </c>
      <c r="C23" s="36" t="s">
        <v>100</v>
      </c>
      <c r="D23" s="29">
        <f>D20-D21</f>
        <v>202114.80429999996</v>
      </c>
      <c r="E23" s="29">
        <f>'[28]0.1'!$I$33</f>
        <v>518188.58995330287</v>
      </c>
      <c r="F23" s="29">
        <f>'[28]0.1'!$L$33</f>
        <v>294830.69291369827</v>
      </c>
    </row>
    <row r="24" spans="1:8">
      <c r="A24" s="36"/>
      <c r="B24" s="38" t="s">
        <v>111</v>
      </c>
      <c r="C24" s="36" t="s">
        <v>112</v>
      </c>
      <c r="D24" s="29">
        <f>'[5]ЧГРЭС Б1'!$E$36</f>
        <v>112.05678807884985</v>
      </c>
      <c r="E24" s="29">
        <f>'[28]4'!$L$28</f>
        <v>163.6</v>
      </c>
      <c r="F24" s="29">
        <f>'[28]4'!$M$28</f>
        <v>166.36</v>
      </c>
    </row>
    <row r="25" spans="1:8" ht="25.5">
      <c r="A25" s="36"/>
      <c r="B25" s="9" t="s">
        <v>113</v>
      </c>
      <c r="C25" s="36" t="s">
        <v>32</v>
      </c>
      <c r="D25" s="54" t="s">
        <v>195</v>
      </c>
      <c r="E25" s="67" t="s">
        <v>195</v>
      </c>
      <c r="F25" s="41"/>
    </row>
    <row r="26" spans="1:8">
      <c r="A26" s="36" t="s">
        <v>114</v>
      </c>
      <c r="B26" s="9" t="s">
        <v>17</v>
      </c>
      <c r="C26" s="36" t="s">
        <v>100</v>
      </c>
      <c r="D26" s="41"/>
      <c r="E26" s="41"/>
      <c r="F26" s="41"/>
    </row>
    <row r="27" spans="1:8" ht="25.5">
      <c r="A27" s="36" t="s">
        <v>115</v>
      </c>
      <c r="B27" s="9" t="s">
        <v>12</v>
      </c>
      <c r="C27" s="36" t="s">
        <v>32</v>
      </c>
      <c r="D27" s="41"/>
      <c r="E27" s="41"/>
      <c r="F27" s="41"/>
    </row>
    <row r="28" spans="1:8">
      <c r="A28" s="36" t="s">
        <v>116</v>
      </c>
      <c r="B28" s="38" t="s">
        <v>117</v>
      </c>
      <c r="C28" s="36" t="s">
        <v>118</v>
      </c>
      <c r="D28" s="41"/>
      <c r="E28" s="41"/>
      <c r="F28" s="41"/>
    </row>
    <row r="29" spans="1:8" ht="25.5">
      <c r="A29" s="39" t="s">
        <v>119</v>
      </c>
      <c r="B29" s="38" t="s">
        <v>120</v>
      </c>
      <c r="C29" s="54" t="s">
        <v>121</v>
      </c>
      <c r="D29" s="41"/>
      <c r="E29" s="41"/>
      <c r="F29" s="41"/>
    </row>
    <row r="30" spans="1:8" ht="25.5">
      <c r="A30" s="36" t="s">
        <v>122</v>
      </c>
      <c r="B30" s="38" t="s">
        <v>123</v>
      </c>
      <c r="C30" s="36" t="s">
        <v>32</v>
      </c>
      <c r="D30" s="41"/>
      <c r="E30" s="41"/>
      <c r="F30" s="41"/>
    </row>
    <row r="31" spans="1:8">
      <c r="A31" s="36" t="s">
        <v>124</v>
      </c>
      <c r="B31" s="9" t="s">
        <v>125</v>
      </c>
      <c r="C31" s="36" t="s">
        <v>100</v>
      </c>
      <c r="D31" s="29">
        <f>SUM(D32:D35)</f>
        <v>4084939.7352400003</v>
      </c>
      <c r="E31" s="41"/>
      <c r="F31" s="41"/>
      <c r="G31" s="47"/>
    </row>
    <row r="32" spans="1:8">
      <c r="A32" s="36" t="s">
        <v>126</v>
      </c>
      <c r="B32" s="38" t="s">
        <v>18</v>
      </c>
      <c r="C32" s="36" t="s">
        <v>100</v>
      </c>
      <c r="D32" s="29">
        <v>1568211.2474700001</v>
      </c>
      <c r="E32" s="41"/>
      <c r="F32" s="41"/>
    </row>
    <row r="33" spans="1:6">
      <c r="A33" s="36" t="s">
        <v>127</v>
      </c>
      <c r="B33" s="38" t="s">
        <v>19</v>
      </c>
      <c r="C33" s="36" t="s">
        <v>100</v>
      </c>
      <c r="D33" s="29">
        <v>1846671.3108900001</v>
      </c>
      <c r="E33" s="41"/>
      <c r="F33" s="41"/>
    </row>
    <row r="34" spans="1:6" ht="25.5">
      <c r="A34" s="36" t="s">
        <v>128</v>
      </c>
      <c r="B34" s="38" t="s">
        <v>20</v>
      </c>
      <c r="C34" s="36" t="s">
        <v>100</v>
      </c>
      <c r="D34" s="29">
        <v>522513.20011000003</v>
      </c>
      <c r="E34" s="41"/>
      <c r="F34" s="41"/>
    </row>
    <row r="35" spans="1:6">
      <c r="A35" s="36" t="s">
        <v>179</v>
      </c>
      <c r="B35" s="38" t="s">
        <v>180</v>
      </c>
      <c r="C35" s="36" t="s">
        <v>100</v>
      </c>
      <c r="D35" s="29">
        <v>147543.97676999998</v>
      </c>
      <c r="E35" s="41"/>
      <c r="F35" s="41"/>
    </row>
    <row r="36" spans="1:6">
      <c r="A36" s="36" t="s">
        <v>129</v>
      </c>
      <c r="B36" s="9" t="s">
        <v>130</v>
      </c>
      <c r="C36" s="36" t="s">
        <v>100</v>
      </c>
      <c r="D36" s="41"/>
      <c r="E36" s="41"/>
      <c r="F36" s="41"/>
    </row>
    <row r="37" spans="1:6">
      <c r="A37" s="36" t="s">
        <v>131</v>
      </c>
      <c r="B37" s="38" t="s">
        <v>21</v>
      </c>
      <c r="C37" s="36" t="s">
        <v>100</v>
      </c>
      <c r="D37" s="41"/>
      <c r="E37" s="41"/>
      <c r="F37" s="41"/>
    </row>
    <row r="38" spans="1:6">
      <c r="A38" s="36" t="s">
        <v>132</v>
      </c>
      <c r="B38" s="38" t="s">
        <v>40</v>
      </c>
      <c r="C38" s="36" t="s">
        <v>100</v>
      </c>
      <c r="D38" s="41"/>
      <c r="E38" s="41"/>
      <c r="F38" s="41"/>
    </row>
    <row r="39" spans="1:6">
      <c r="A39" s="36" t="s">
        <v>133</v>
      </c>
      <c r="B39" s="9" t="s">
        <v>134</v>
      </c>
      <c r="C39" s="36" t="s">
        <v>100</v>
      </c>
      <c r="D39" s="41"/>
      <c r="E39" s="41"/>
      <c r="F39" s="41"/>
    </row>
    <row r="40" spans="1:6">
      <c r="A40" s="36" t="s">
        <v>135</v>
      </c>
      <c r="B40" s="38" t="s">
        <v>18</v>
      </c>
      <c r="C40" s="36" t="s">
        <v>100</v>
      </c>
      <c r="D40" s="41"/>
      <c r="E40" s="41"/>
      <c r="F40" s="41"/>
    </row>
    <row r="41" spans="1:6">
      <c r="A41" s="36" t="s">
        <v>136</v>
      </c>
      <c r="B41" s="38" t="s">
        <v>19</v>
      </c>
      <c r="C41" s="36" t="s">
        <v>100</v>
      </c>
      <c r="D41" s="41"/>
      <c r="E41" s="41"/>
      <c r="F41" s="41"/>
    </row>
    <row r="42" spans="1:6" ht="25.5">
      <c r="A42" s="36" t="s">
        <v>137</v>
      </c>
      <c r="B42" s="38" t="s">
        <v>20</v>
      </c>
      <c r="C42" s="36" t="s">
        <v>100</v>
      </c>
      <c r="D42" s="41"/>
      <c r="E42" s="41"/>
      <c r="F42" s="41"/>
    </row>
    <row r="43" spans="1:6" ht="25.5">
      <c r="A43" s="36" t="s">
        <v>138</v>
      </c>
      <c r="B43" s="9" t="s">
        <v>139</v>
      </c>
      <c r="C43" s="36" t="s">
        <v>100</v>
      </c>
      <c r="D43" s="41"/>
      <c r="E43" s="41"/>
      <c r="F43" s="41"/>
    </row>
    <row r="44" spans="1:6">
      <c r="A44" s="36" t="s">
        <v>140</v>
      </c>
      <c r="B44" s="38" t="s">
        <v>18</v>
      </c>
      <c r="C44" s="36" t="s">
        <v>100</v>
      </c>
      <c r="D44" s="41"/>
      <c r="E44" s="41"/>
      <c r="F44" s="41"/>
    </row>
    <row r="45" spans="1:6">
      <c r="A45" s="36" t="s">
        <v>141</v>
      </c>
      <c r="B45" s="38" t="s">
        <v>19</v>
      </c>
      <c r="C45" s="36" t="s">
        <v>100</v>
      </c>
      <c r="D45" s="41"/>
      <c r="E45" s="41"/>
      <c r="F45" s="41"/>
    </row>
    <row r="46" spans="1:6" ht="25.5">
      <c r="A46" s="36" t="s">
        <v>142</v>
      </c>
      <c r="B46" s="38" t="s">
        <v>20</v>
      </c>
      <c r="C46" s="36" t="s">
        <v>100</v>
      </c>
      <c r="D46" s="41"/>
      <c r="E46" s="41"/>
      <c r="F46" s="41"/>
    </row>
    <row r="47" spans="1:6">
      <c r="A47" s="36" t="s">
        <v>143</v>
      </c>
      <c r="B47" s="9" t="s">
        <v>178</v>
      </c>
      <c r="C47" s="36" t="s">
        <v>100</v>
      </c>
      <c r="D47" s="52">
        <v>12200091</v>
      </c>
      <c r="E47" s="41"/>
      <c r="F47" s="41"/>
    </row>
    <row r="48" spans="1:6" ht="25.5">
      <c r="A48" s="36" t="s">
        <v>144</v>
      </c>
      <c r="B48" s="9" t="s">
        <v>177</v>
      </c>
      <c r="C48" s="36" t="s">
        <v>145</v>
      </c>
      <c r="D48" s="31">
        <f>19896480/65281414</f>
        <v>0.30478016300320948</v>
      </c>
      <c r="E48" s="41"/>
      <c r="F48" s="41"/>
    </row>
    <row r="49" spans="1:6" ht="229.5">
      <c r="A49" s="36" t="s">
        <v>146</v>
      </c>
      <c r="B49" s="9" t="s">
        <v>13</v>
      </c>
      <c r="C49" s="36" t="s">
        <v>32</v>
      </c>
      <c r="D49" s="9" t="s">
        <v>197</v>
      </c>
      <c r="E49" s="9" t="s">
        <v>200</v>
      </c>
      <c r="F49" s="9" t="s">
        <v>147</v>
      </c>
    </row>
    <row r="50" spans="1:6">
      <c r="B50" s="8"/>
    </row>
    <row r="51" spans="1:6">
      <c r="A51" s="98" t="s">
        <v>148</v>
      </c>
      <c r="B51" s="98"/>
      <c r="C51" s="98"/>
      <c r="D51" s="98"/>
      <c r="E51" s="98"/>
      <c r="F51" s="98"/>
    </row>
    <row r="52" spans="1:6">
      <c r="A52" s="98" t="s">
        <v>186</v>
      </c>
      <c r="B52" s="98"/>
      <c r="C52" s="98"/>
      <c r="D52" s="98"/>
      <c r="E52" s="98"/>
      <c r="F52" s="98"/>
    </row>
  </sheetData>
  <mergeCells count="7">
    <mergeCell ref="A51:F51"/>
    <mergeCell ref="A52:F52"/>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activeCell="B15" sqref="B15"/>
      <selection pane="topRight" activeCell="B15" sqref="B15"/>
      <selection pane="bottomLeft" activeCell="B15" sqref="B15"/>
      <selection pane="bottomRight" activeCell="H11" sqref="H11:I11"/>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175</v>
      </c>
    </row>
    <row r="2" spans="1:11">
      <c r="F2" s="27"/>
      <c r="I2" s="26" t="s">
        <v>77</v>
      </c>
    </row>
    <row r="3" spans="1:11">
      <c r="F3" s="27"/>
    </row>
    <row r="4" spans="1:11">
      <c r="A4" s="79" t="s">
        <v>41</v>
      </c>
      <c r="B4" s="97"/>
      <c r="C4" s="97"/>
      <c r="D4" s="97"/>
      <c r="E4" s="97"/>
      <c r="F4" s="97"/>
      <c r="G4" s="97"/>
      <c r="H4" s="97"/>
      <c r="I4" s="97"/>
    </row>
    <row r="5" spans="1:11">
      <c r="A5" s="79" t="str">
        <f>Титульный!$C$16</f>
        <v>Челябинская ГРЭС (БЛ 1) ДПМ</v>
      </c>
      <c r="B5" s="97"/>
      <c r="C5" s="97"/>
      <c r="D5" s="97"/>
      <c r="E5" s="97"/>
      <c r="F5" s="97"/>
      <c r="G5" s="97"/>
      <c r="H5" s="97"/>
      <c r="I5" s="97"/>
    </row>
    <row r="7" spans="1:11" s="3" customFormat="1" ht="32.25" customHeight="1">
      <c r="A7" s="101" t="s">
        <v>87</v>
      </c>
      <c r="B7" s="101" t="s">
        <v>9</v>
      </c>
      <c r="C7" s="101" t="s">
        <v>153</v>
      </c>
      <c r="D7" s="101" t="s">
        <v>173</v>
      </c>
      <c r="E7" s="101"/>
      <c r="F7" s="101" t="s">
        <v>150</v>
      </c>
      <c r="G7" s="101"/>
      <c r="H7" s="101" t="s">
        <v>151</v>
      </c>
      <c r="I7" s="101"/>
      <c r="K7" s="56"/>
    </row>
    <row r="8" spans="1:11" s="3" customFormat="1">
      <c r="A8" s="101"/>
      <c r="B8" s="101"/>
      <c r="C8" s="101"/>
      <c r="D8" s="42">
        <f>Титульный!$B$5-2</f>
        <v>2017</v>
      </c>
      <c r="E8" s="43" t="s">
        <v>68</v>
      </c>
      <c r="F8" s="42">
        <f>Титульный!$B$5-1</f>
        <v>2018</v>
      </c>
      <c r="G8" s="43" t="s">
        <v>68</v>
      </c>
      <c r="H8" s="42">
        <f>Титульный!$B$5</f>
        <v>2019</v>
      </c>
      <c r="I8" s="43" t="s">
        <v>68</v>
      </c>
      <c r="K8" s="56"/>
    </row>
    <row r="9" spans="1:11" s="3" customFormat="1">
      <c r="A9" s="101"/>
      <c r="B9" s="101"/>
      <c r="C9" s="101"/>
      <c r="D9" s="55" t="s">
        <v>22</v>
      </c>
      <c r="E9" s="55" t="s">
        <v>23</v>
      </c>
      <c r="F9" s="55" t="s">
        <v>22</v>
      </c>
      <c r="G9" s="55" t="s">
        <v>23</v>
      </c>
      <c r="H9" s="55" t="s">
        <v>22</v>
      </c>
      <c r="I9" s="55" t="s">
        <v>23</v>
      </c>
    </row>
    <row r="10" spans="1:11" ht="12.75" customHeight="1">
      <c r="A10" s="102" t="s">
        <v>170</v>
      </c>
      <c r="B10" s="103"/>
      <c r="C10" s="103"/>
      <c r="D10" s="103"/>
      <c r="E10" s="103"/>
      <c r="F10" s="103"/>
      <c r="G10" s="103"/>
      <c r="H10" s="103"/>
      <c r="I10" s="104"/>
    </row>
    <row r="11" spans="1:11" ht="12.75" customHeight="1">
      <c r="A11" s="54" t="s">
        <v>154</v>
      </c>
      <c r="B11" s="37" t="s">
        <v>155</v>
      </c>
      <c r="C11" s="36" t="s">
        <v>168</v>
      </c>
      <c r="D11" s="29">
        <f>'[7]Утв. тарифы на ЭЭ и ЭМ'!$E$20</f>
        <v>839.39</v>
      </c>
      <c r="E11" s="29">
        <f>'[7]Утв. тарифы на ЭЭ и ЭМ'!$F$20</f>
        <v>855.9</v>
      </c>
      <c r="F11" s="29">
        <f>E11</f>
        <v>855.9</v>
      </c>
      <c r="G11" s="29">
        <f>'[28]0.1'!$G$20</f>
        <v>885.0116446477299</v>
      </c>
      <c r="H11" s="105">
        <f>'[28]0.1'!$L$20</f>
        <v>873.27281321436544</v>
      </c>
      <c r="I11" s="106"/>
      <c r="K11" s="65" t="b">
        <f>ROUND([9]Лист1!$D$104,1)=ROUND(H11,1)</f>
        <v>1</v>
      </c>
    </row>
    <row r="12" spans="1:11" ht="12.75" customHeight="1">
      <c r="A12" s="54"/>
      <c r="B12" s="45" t="s">
        <v>171</v>
      </c>
      <c r="C12" s="36" t="s">
        <v>168</v>
      </c>
      <c r="D12" s="29">
        <f>('[5]ЧГРЭС Б1'!$F$255+'[5]ЧГРЭС Б1'!$G$255+'[5]ЧГРЭС Б1'!$H$255+'[5]ЧГРЭС Б1'!$J$255+'[5]ЧГРЭС Б1'!$K$255+'[5]ЧГРЭС Б1'!$L$255)/('[5]ЧГРЭС Б1'!$F$22+'[5]ЧГРЭС Б1'!$G$22+'[5]ЧГРЭС Б1'!$H$22+'[5]ЧГРЭС Б1'!$J$22+'[5]ЧГРЭС Б1'!$K$22+'[5]ЧГРЭС Б1'!$L$22)</f>
        <v>784.16470274853555</v>
      </c>
      <c r="E12" s="29">
        <f>('[5]ЧГРЭС Б1'!$N$255+'[5]ЧГРЭС Б1'!$O$255+'[5]ЧГРЭС Б1'!$P$255+'[5]ЧГРЭС Б1'!$R$255+'[5]ЧГРЭС Б1'!$S$255+'[5]ЧГРЭС Б1'!$T$255)/('[5]ЧГРЭС Б1'!$N$22+'[5]ЧГРЭС Б1'!$O$22+'[5]ЧГРЭС Б1'!$P$22+'[5]ЧГРЭС Б1'!$R$22+'[5]ЧГРЭС Б1'!$S$22+'[5]ЧГРЭС Б1'!$T$22)</f>
        <v>817.24444581006242</v>
      </c>
      <c r="F12" s="29">
        <f>'[28]2.2'!$G$170</f>
        <v>854.82743196105423</v>
      </c>
      <c r="G12" s="29">
        <f>'[28]2.1'!$G$170</f>
        <v>883.89156464772998</v>
      </c>
      <c r="H12" s="105">
        <f>'[28]2'!$G$170</f>
        <v>872.10136821436538</v>
      </c>
      <c r="I12" s="106"/>
    </row>
    <row r="13" spans="1:11" ht="12.75" customHeight="1">
      <c r="A13" s="54" t="s">
        <v>156</v>
      </c>
      <c r="B13" s="37" t="s">
        <v>157</v>
      </c>
      <c r="C13" s="36" t="s">
        <v>158</v>
      </c>
      <c r="D13" s="44"/>
      <c r="E13" s="44"/>
      <c r="F13" s="44"/>
      <c r="G13" s="44"/>
      <c r="H13" s="44"/>
      <c r="I13" s="44"/>
    </row>
    <row r="14" spans="1:11" ht="27.75" customHeight="1">
      <c r="A14" s="54" t="s">
        <v>159</v>
      </c>
      <c r="B14" s="37" t="s">
        <v>174</v>
      </c>
      <c r="C14" s="36" t="s">
        <v>47</v>
      </c>
      <c r="D14" s="105">
        <f>'ЧТЭЦ-1 ДМ_П5'!D14:E14</f>
        <v>641.93004009946117</v>
      </c>
      <c r="E14" s="106"/>
      <c r="F14" s="105">
        <f>'ЧТЭЦ-1 ДМ_П5'!F14:G14</f>
        <v>641.81403648616254</v>
      </c>
      <c r="G14" s="106"/>
      <c r="H14" s="105">
        <f>'ЧТЭЦ-1 ДМ_П5'!H14:I14</f>
        <v>971.98007895896069</v>
      </c>
      <c r="I14" s="106"/>
    </row>
    <row r="15" spans="1:11" ht="26.25" customHeight="1">
      <c r="A15" s="54" t="s">
        <v>160</v>
      </c>
      <c r="B15" s="46" t="s">
        <v>48</v>
      </c>
      <c r="C15" s="36" t="s">
        <v>47</v>
      </c>
      <c r="D15" s="29">
        <f>'ЧТЭЦ-1 ДМ_П5'!D15</f>
        <v>641.62</v>
      </c>
      <c r="E15" s="29">
        <f>'ЧТЭЦ-1 ДМ_П5'!E15</f>
        <v>641.62</v>
      </c>
      <c r="F15" s="29">
        <f>'ЧТЭЦ-1 ДМ_П5'!F15</f>
        <v>641.62</v>
      </c>
      <c r="G15" s="29">
        <f>'ЧТЭЦ-1 ДМ_П5'!G15</f>
        <v>641.62</v>
      </c>
      <c r="H15" s="105">
        <f>'ЧТЭЦ-1 ДМ_П5'!H15:I15</f>
        <v>971.50953804854021</v>
      </c>
      <c r="I15" s="106"/>
    </row>
    <row r="16" spans="1:11" ht="12.75" customHeight="1">
      <c r="A16" s="54" t="s">
        <v>161</v>
      </c>
      <c r="B16" s="46" t="s">
        <v>49</v>
      </c>
      <c r="C16" s="36" t="s">
        <v>47</v>
      </c>
      <c r="D16" s="44"/>
      <c r="E16" s="44"/>
      <c r="F16" s="44"/>
      <c r="G16" s="44"/>
      <c r="H16" s="44"/>
      <c r="I16" s="44"/>
    </row>
    <row r="17" spans="1:9" ht="12.75" customHeight="1">
      <c r="A17" s="54"/>
      <c r="B17" s="38" t="s">
        <v>50</v>
      </c>
      <c r="C17" s="36" t="s">
        <v>47</v>
      </c>
      <c r="D17" s="44"/>
      <c r="E17" s="44"/>
      <c r="F17" s="44"/>
      <c r="G17" s="44"/>
      <c r="H17" s="44"/>
      <c r="I17" s="44"/>
    </row>
    <row r="18" spans="1:9" ht="12.75" customHeight="1">
      <c r="A18" s="54"/>
      <c r="B18" s="38" t="s">
        <v>51</v>
      </c>
      <c r="C18" s="36" t="s">
        <v>47</v>
      </c>
      <c r="D18" s="44"/>
      <c r="E18" s="44"/>
      <c r="F18" s="44"/>
      <c r="G18" s="44"/>
      <c r="H18" s="44"/>
      <c r="I18" s="44"/>
    </row>
    <row r="19" spans="1:9" ht="12.75" customHeight="1">
      <c r="A19" s="54"/>
      <c r="B19" s="38" t="s">
        <v>52</v>
      </c>
      <c r="C19" s="36" t="s">
        <v>47</v>
      </c>
      <c r="D19" s="44"/>
      <c r="E19" s="44"/>
      <c r="F19" s="44"/>
      <c r="G19" s="44"/>
      <c r="H19" s="44"/>
      <c r="I19" s="44"/>
    </row>
    <row r="20" spans="1:9" ht="12.75" customHeight="1">
      <c r="A20" s="54"/>
      <c r="B20" s="38" t="s">
        <v>53</v>
      </c>
      <c r="C20" s="36" t="s">
        <v>47</v>
      </c>
      <c r="D20" s="44"/>
      <c r="E20" s="44"/>
      <c r="F20" s="44"/>
      <c r="G20" s="44"/>
      <c r="H20" s="44"/>
      <c r="I20" s="44"/>
    </row>
    <row r="21" spans="1:9" ht="12.75" customHeight="1">
      <c r="A21" s="54" t="s">
        <v>162</v>
      </c>
      <c r="B21" s="46" t="s">
        <v>54</v>
      </c>
      <c r="C21" s="36" t="s">
        <v>47</v>
      </c>
      <c r="D21" s="44"/>
      <c r="E21" s="44"/>
      <c r="F21" s="44"/>
      <c r="G21" s="44"/>
      <c r="H21" s="44"/>
      <c r="I21" s="44"/>
    </row>
    <row r="22" spans="1:9" ht="12.75" customHeight="1">
      <c r="A22" s="54" t="s">
        <v>163</v>
      </c>
      <c r="B22" s="37" t="s">
        <v>55</v>
      </c>
      <c r="C22" s="36" t="s">
        <v>32</v>
      </c>
      <c r="D22" s="44"/>
      <c r="E22" s="44"/>
      <c r="F22" s="44"/>
      <c r="G22" s="44"/>
      <c r="H22" s="44"/>
      <c r="I22" s="44"/>
    </row>
    <row r="23" spans="1:9" ht="25.5" customHeight="1">
      <c r="A23" s="54" t="s">
        <v>164</v>
      </c>
      <c r="B23" s="38" t="s">
        <v>56</v>
      </c>
      <c r="C23" s="54" t="s">
        <v>57</v>
      </c>
      <c r="D23" s="44"/>
      <c r="E23" s="44"/>
      <c r="F23" s="44"/>
      <c r="G23" s="44"/>
      <c r="H23" s="44"/>
      <c r="I23" s="44"/>
    </row>
    <row r="24" spans="1:9" ht="12.75" customHeight="1">
      <c r="A24" s="54" t="s">
        <v>165</v>
      </c>
      <c r="B24" s="46" t="s">
        <v>58</v>
      </c>
      <c r="C24" s="36" t="s">
        <v>47</v>
      </c>
      <c r="D24" s="44"/>
      <c r="E24" s="44"/>
      <c r="F24" s="44"/>
      <c r="G24" s="44"/>
      <c r="H24" s="44"/>
      <c r="I24" s="44"/>
    </row>
    <row r="25" spans="1:9" ht="12.75" customHeight="1">
      <c r="A25" s="54" t="s">
        <v>166</v>
      </c>
      <c r="B25" s="37" t="s">
        <v>59</v>
      </c>
      <c r="C25" s="36" t="s">
        <v>169</v>
      </c>
      <c r="D25" s="44"/>
      <c r="E25" s="44"/>
      <c r="F25" s="44"/>
      <c r="G25" s="44"/>
      <c r="H25" s="44"/>
      <c r="I25" s="44"/>
    </row>
    <row r="26" spans="1:9" ht="15" customHeight="1">
      <c r="A26" s="54"/>
      <c r="B26" s="38" t="s">
        <v>60</v>
      </c>
      <c r="C26" s="36" t="s">
        <v>169</v>
      </c>
      <c r="D26" s="29">
        <f>'ЧТЭЦ-1 ДМ_П5'!D26</f>
        <v>28.16</v>
      </c>
      <c r="E26" s="29">
        <f>'ЧТЭЦ-1 ДМ_П5'!E26</f>
        <v>40.31</v>
      </c>
      <c r="F26" s="29">
        <f>'ЧТЭЦ-1 ДМ_П5'!F26</f>
        <v>35.270000000000003</v>
      </c>
      <c r="G26" s="29">
        <f>'ЧТЭЦ-1 ДМ_П5'!G26</f>
        <v>35.270000000000003</v>
      </c>
      <c r="H26" s="105">
        <f>'ЧТЭЦ-1 ДМ_П5'!H26</f>
        <v>88.970828118426738</v>
      </c>
      <c r="I26" s="108"/>
    </row>
    <row r="27" spans="1:9">
      <c r="A27" s="54"/>
      <c r="B27" s="38" t="s">
        <v>61</v>
      </c>
      <c r="C27" s="36" t="s">
        <v>169</v>
      </c>
      <c r="D27" s="44"/>
      <c r="E27" s="44"/>
      <c r="F27" s="44"/>
      <c r="G27" s="44"/>
      <c r="H27" s="44"/>
      <c r="I27" s="44"/>
    </row>
    <row r="28" spans="1:9">
      <c r="A28" s="8"/>
      <c r="B28" s="33"/>
      <c r="C28" s="32"/>
      <c r="D28" s="33"/>
      <c r="E28" s="33"/>
      <c r="F28" s="33"/>
      <c r="G28" s="33"/>
      <c r="H28" s="33"/>
      <c r="I28" s="33"/>
    </row>
    <row r="29" spans="1:9">
      <c r="A29" s="98" t="s">
        <v>167</v>
      </c>
      <c r="B29" s="98"/>
      <c r="C29" s="98"/>
      <c r="D29" s="98"/>
      <c r="E29" s="98"/>
      <c r="F29" s="98"/>
      <c r="G29" s="98"/>
      <c r="H29" s="98"/>
      <c r="I29" s="98"/>
    </row>
    <row r="30" spans="1:9">
      <c r="A30" s="98" t="s">
        <v>172</v>
      </c>
      <c r="B30" s="98"/>
      <c r="C30" s="98"/>
      <c r="D30" s="98"/>
      <c r="E30" s="98"/>
      <c r="F30" s="98"/>
      <c r="G30" s="98"/>
      <c r="H30" s="98"/>
      <c r="I30" s="98"/>
    </row>
    <row r="31" spans="1:9">
      <c r="A31" s="98" t="s">
        <v>181</v>
      </c>
      <c r="B31" s="98"/>
      <c r="C31" s="98"/>
      <c r="D31" s="98"/>
      <c r="E31" s="98"/>
      <c r="F31" s="98"/>
      <c r="G31" s="98"/>
      <c r="H31" s="98"/>
      <c r="I31" s="98"/>
    </row>
    <row r="32" spans="1:9">
      <c r="A32" s="98" t="s">
        <v>182</v>
      </c>
      <c r="B32" s="98"/>
      <c r="C32" s="98"/>
      <c r="D32" s="98"/>
      <c r="E32" s="98"/>
      <c r="F32" s="98"/>
      <c r="G32" s="98"/>
      <c r="H32" s="98"/>
      <c r="I32" s="98"/>
    </row>
  </sheetData>
  <mergeCells count="20">
    <mergeCell ref="A4:I4"/>
    <mergeCell ref="A5:I5"/>
    <mergeCell ref="A7:A9"/>
    <mergeCell ref="B7:B9"/>
    <mergeCell ref="C7:C9"/>
    <mergeCell ref="D7:E7"/>
    <mergeCell ref="F7:G7"/>
    <mergeCell ref="H7:I7"/>
    <mergeCell ref="A29:I29"/>
    <mergeCell ref="A30:I30"/>
    <mergeCell ref="A31:I31"/>
    <mergeCell ref="A32:I32"/>
    <mergeCell ref="A10:I10"/>
    <mergeCell ref="H11:I11"/>
    <mergeCell ref="H12:I12"/>
    <mergeCell ref="D14:E14"/>
    <mergeCell ref="F14:G14"/>
    <mergeCell ref="H14:I14"/>
    <mergeCell ref="H15:I15"/>
    <mergeCell ref="H26:I26"/>
  </mergeCells>
  <conditionalFormatting sqref="K11">
    <cfRule type="containsText" dxfId="21" priority="1" operator="containsText" text="ложь">
      <formula>NOT(ISERROR(SEARCH("ложь",K11)))</formula>
    </cfRule>
    <cfRule type="containsText" dxfId="20" priority="2" operator="containsText" text="истина">
      <formula>NOT(ISERROR(SEARCH("истина",K11)))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41"/>
  <sheetViews>
    <sheetView zoomScaleNormal="100" workbookViewId="0">
      <selection activeCell="C14" sqref="C14"/>
    </sheetView>
  </sheetViews>
  <sheetFormatPr defaultRowHeight="12.75"/>
  <cols>
    <col min="1" max="1" width="4.7109375" style="12" customWidth="1"/>
    <col min="2" max="2" width="123.28515625" style="7" customWidth="1"/>
    <col min="3" max="3" width="58.5703125" style="12" customWidth="1"/>
    <col min="4" max="16384" width="9.140625" style="12"/>
  </cols>
  <sheetData>
    <row r="1" spans="1:4">
      <c r="A1" s="95" t="s">
        <v>184</v>
      </c>
      <c r="B1" s="95"/>
      <c r="C1" s="95"/>
    </row>
    <row r="2" spans="1:4" ht="46.5" customHeight="1">
      <c r="A2" s="96" t="str">
        <f>Титульный!A4</f>
        <v>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v>
      </c>
      <c r="B2" s="96"/>
      <c r="C2" s="96"/>
    </row>
    <row r="3" spans="1:4">
      <c r="A3" s="14" t="s">
        <v>67</v>
      </c>
      <c r="B3" s="13">
        <f>Титульный!B5</f>
        <v>2019</v>
      </c>
      <c r="C3" s="13" t="s">
        <v>68</v>
      </c>
    </row>
    <row r="4" spans="1:4" ht="13.5" thickBot="1">
      <c r="A4" s="13"/>
      <c r="B4" s="14"/>
      <c r="C4" s="13"/>
    </row>
    <row r="5" spans="1:4" s="16" customFormat="1" ht="23.25" thickBot="1">
      <c r="A5" s="17">
        <v>1</v>
      </c>
      <c r="B5" s="18" t="s">
        <v>74</v>
      </c>
      <c r="C5" s="70" t="s">
        <v>191</v>
      </c>
      <c r="D5" s="19"/>
    </row>
    <row r="6" spans="1:4" s="16" customFormat="1" ht="11.25">
      <c r="A6" s="91">
        <v>2</v>
      </c>
      <c r="B6" s="88" t="s">
        <v>75</v>
      </c>
      <c r="C6" s="58" t="s">
        <v>0</v>
      </c>
    </row>
    <row r="7" spans="1:4" s="16" customFormat="1" ht="11.25">
      <c r="A7" s="92"/>
      <c r="B7" s="89"/>
      <c r="C7" s="59" t="s">
        <v>29</v>
      </c>
    </row>
    <row r="8" spans="1:4" s="16" customFormat="1" ht="11.25">
      <c r="A8" s="92"/>
      <c r="B8" s="89"/>
      <c r="C8" s="59" t="s">
        <v>31</v>
      </c>
    </row>
    <row r="9" spans="1:4" s="16" customFormat="1" ht="11.25">
      <c r="A9" s="92"/>
      <c r="B9" s="89"/>
      <c r="C9" s="59" t="s">
        <v>27</v>
      </c>
    </row>
    <row r="10" spans="1:4" s="16" customFormat="1" ht="11.25">
      <c r="A10" s="92"/>
      <c r="B10" s="89"/>
      <c r="C10" s="59" t="s">
        <v>24</v>
      </c>
    </row>
    <row r="11" spans="1:4" s="16" customFormat="1" ht="11.25">
      <c r="A11" s="92"/>
      <c r="B11" s="89"/>
      <c r="C11" s="59" t="s">
        <v>28</v>
      </c>
    </row>
    <row r="12" spans="1:4" s="16" customFormat="1" ht="11.25">
      <c r="A12" s="92"/>
      <c r="B12" s="89"/>
      <c r="C12" s="59" t="s">
        <v>42</v>
      </c>
    </row>
    <row r="13" spans="1:4" s="16" customFormat="1" ht="11.25" hidden="1">
      <c r="A13" s="92"/>
      <c r="B13" s="89"/>
      <c r="C13" s="57" t="s">
        <v>30</v>
      </c>
    </row>
    <row r="14" spans="1:4" s="16" customFormat="1" ht="11.25">
      <c r="A14" s="92"/>
      <c r="B14" s="89"/>
      <c r="C14" s="57" t="s">
        <v>44</v>
      </c>
    </row>
    <row r="15" spans="1:4" s="16" customFormat="1" ht="11.25">
      <c r="A15" s="92"/>
      <c r="B15" s="89"/>
      <c r="C15" s="57" t="s">
        <v>69</v>
      </c>
    </row>
    <row r="16" spans="1:4" s="16" customFormat="1" ht="11.25">
      <c r="A16" s="92"/>
      <c r="B16" s="89"/>
      <c r="C16" s="57" t="s">
        <v>45</v>
      </c>
    </row>
    <row r="17" spans="1:3" s="16" customFormat="1" ht="11.25">
      <c r="A17" s="92"/>
      <c r="B17" s="89"/>
      <c r="C17" s="59" t="s">
        <v>26</v>
      </c>
    </row>
    <row r="18" spans="1:3" s="16" customFormat="1" ht="11.25">
      <c r="A18" s="92"/>
      <c r="B18" s="89"/>
      <c r="C18" s="59" t="s">
        <v>43</v>
      </c>
    </row>
    <row r="19" spans="1:3" s="16" customFormat="1" ht="11.25">
      <c r="A19" s="92"/>
      <c r="B19" s="89"/>
      <c r="C19" s="59" t="s">
        <v>25</v>
      </c>
    </row>
    <row r="20" spans="1:3" s="16" customFormat="1" ht="11.25">
      <c r="A20" s="93"/>
      <c r="B20" s="89"/>
      <c r="C20" s="59" t="s">
        <v>70</v>
      </c>
    </row>
    <row r="21" spans="1:3" s="16" customFormat="1" ht="11.25">
      <c r="A21" s="93"/>
      <c r="B21" s="89"/>
      <c r="C21" s="59" t="s">
        <v>71</v>
      </c>
    </row>
    <row r="22" spans="1:3" s="16" customFormat="1" ht="12" thickBot="1">
      <c r="A22" s="94"/>
      <c r="B22" s="90"/>
      <c r="C22" s="60" t="s">
        <v>72</v>
      </c>
    </row>
    <row r="23" spans="1:3" s="16" customFormat="1" ht="11.25">
      <c r="A23" s="82">
        <v>3</v>
      </c>
      <c r="B23" s="85" t="s">
        <v>76</v>
      </c>
      <c r="C23" s="58" t="s">
        <v>0</v>
      </c>
    </row>
    <row r="24" spans="1:3" s="16" customFormat="1" ht="11.25">
      <c r="A24" s="83"/>
      <c r="B24" s="86"/>
      <c r="C24" s="59" t="s">
        <v>29</v>
      </c>
    </row>
    <row r="25" spans="1:3" s="16" customFormat="1" ht="11.25">
      <c r="A25" s="83"/>
      <c r="B25" s="86"/>
      <c r="C25" s="59" t="s">
        <v>31</v>
      </c>
    </row>
    <row r="26" spans="1:3" s="16" customFormat="1" ht="11.25">
      <c r="A26" s="83"/>
      <c r="B26" s="86"/>
      <c r="C26" s="59" t="s">
        <v>27</v>
      </c>
    </row>
    <row r="27" spans="1:3" s="16" customFormat="1" ht="11.25">
      <c r="A27" s="83"/>
      <c r="B27" s="86"/>
      <c r="C27" s="59" t="s">
        <v>24</v>
      </c>
    </row>
    <row r="28" spans="1:3" s="16" customFormat="1" ht="11.25">
      <c r="A28" s="83"/>
      <c r="B28" s="86"/>
      <c r="C28" s="59" t="s">
        <v>28</v>
      </c>
    </row>
    <row r="29" spans="1:3" s="16" customFormat="1" ht="11.25">
      <c r="A29" s="83"/>
      <c r="B29" s="86"/>
      <c r="C29" s="59" t="s">
        <v>42</v>
      </c>
    </row>
    <row r="30" spans="1:3" s="16" customFormat="1" ht="11.25" hidden="1">
      <c r="A30" s="83"/>
      <c r="B30" s="86"/>
      <c r="C30" s="57" t="s">
        <v>30</v>
      </c>
    </row>
    <row r="31" spans="1:3" s="16" customFormat="1" ht="11.25">
      <c r="A31" s="83"/>
      <c r="B31" s="86"/>
      <c r="C31" s="57" t="s">
        <v>44</v>
      </c>
    </row>
    <row r="32" spans="1:3" s="16" customFormat="1" ht="11.25">
      <c r="A32" s="83"/>
      <c r="B32" s="86"/>
      <c r="C32" s="57" t="s">
        <v>69</v>
      </c>
    </row>
    <row r="33" spans="1:3" s="16" customFormat="1" ht="11.25">
      <c r="A33" s="83"/>
      <c r="B33" s="86"/>
      <c r="C33" s="57" t="s">
        <v>45</v>
      </c>
    </row>
    <row r="34" spans="1:3" s="16" customFormat="1" ht="11.25">
      <c r="A34" s="83"/>
      <c r="B34" s="86"/>
      <c r="C34" s="59" t="s">
        <v>26</v>
      </c>
    </row>
    <row r="35" spans="1:3" s="16" customFormat="1" ht="11.25">
      <c r="A35" s="83"/>
      <c r="B35" s="86"/>
      <c r="C35" s="59" t="s">
        <v>43</v>
      </c>
    </row>
    <row r="36" spans="1:3" s="16" customFormat="1" ht="11.25">
      <c r="A36" s="83"/>
      <c r="B36" s="86"/>
      <c r="C36" s="59" t="s">
        <v>25</v>
      </c>
    </row>
    <row r="37" spans="1:3" s="16" customFormat="1" ht="11.25">
      <c r="A37" s="83"/>
      <c r="B37" s="86"/>
      <c r="C37" s="59" t="s">
        <v>70</v>
      </c>
    </row>
    <row r="38" spans="1:3" s="16" customFormat="1" ht="11.25">
      <c r="A38" s="83"/>
      <c r="B38" s="86"/>
      <c r="C38" s="59" t="s">
        <v>71</v>
      </c>
    </row>
    <row r="39" spans="1:3" s="16" customFormat="1" ht="12" thickBot="1">
      <c r="A39" s="84"/>
      <c r="B39" s="87"/>
      <c r="C39" s="60" t="s">
        <v>72</v>
      </c>
    </row>
    <row r="41" spans="1:3">
      <c r="C41" s="24"/>
    </row>
  </sheetData>
  <mergeCells count="6">
    <mergeCell ref="A23:A39"/>
    <mergeCell ref="B23:B39"/>
    <mergeCell ref="B6:B22"/>
    <mergeCell ref="A6:A22"/>
    <mergeCell ref="A1:C1"/>
    <mergeCell ref="A2:C2"/>
  </mergeCells>
  <hyperlinks>
    <hyperlink ref="C6" location="'АТЭЦ ДМ_П4'!A1" display="Аргаяшская ТЭЦ без ДПМ/НВ"/>
    <hyperlink ref="C7" location="'АТЭЦ НМ_П4'!A1" display="Аргаяшская ТЭЦ (ТГ 4)"/>
    <hyperlink ref="C8" location="'ЧТЭЦ-1 ДМ_П4'!A1" display="Челябинская ТЭЦ-1 без ДПМ/НВ"/>
    <hyperlink ref="C9" location="'ЧТЭЦ-1 НМ_П4'!A1" display="Челябинская ТЭЦ-1 (ТГ-10, ТГ-11) НВ"/>
    <hyperlink ref="C10" location="'ЧТЭЦ-2_П4'!A1" display="Челябинская ТЭЦ-2"/>
    <hyperlink ref="C11" location="'ЧТЭЦ-3 ДМ_П4'!A1" display="Челябинская ТЭЦ-3 без ДПМ/НВ"/>
    <hyperlink ref="C12" location="'ЧТЭЦ-3 НМ_П4'!A1" display="Челябинская ТЭЦ-3 (БЛ 3) ДПМ"/>
    <hyperlink ref="C13" location="'ЧГРЭС ДМ_П4'!A1" display="Челябинская ГРЭС без ДПМ/НВ"/>
    <hyperlink ref="C14" location="'ЧГРЭС Б1_П4'!A1" display="Челябинская ГРЭС (БЛ 1) ДПМ"/>
    <hyperlink ref="C15" location="'ЧГРЭС Б2_П4'!A1" display="Челябинская ГРЭС (БЛ 2) ДПМ"/>
    <hyperlink ref="C16" location="'ЧГРЭС Б3_П4'!A1" display="Челябинская ГРЭС (БЛ 3) НВ"/>
    <hyperlink ref="C17" location="'ТТЭЦ-1 ДМ_П4'!A1" display="Тюменская ТЭЦ-1 без ДПМ/НВ"/>
    <hyperlink ref="C18" location="'ТТЭЦ-1 НМ_П4'!A1" display="Тюменская ТЭЦ-1 (БЛ 2) ДПМ"/>
    <hyperlink ref="C19" location="'ТТЭЦ-2_П4'!A1" display="Тюменская ТЭЦ-2"/>
    <hyperlink ref="C20" location="'НГРЭС Б1_П4'!A1" display="Няганская ГРЭС (БЛ 1) ДПМ"/>
    <hyperlink ref="C21" location="'НГРЭС Б2_П4'!A1" display="Няганская ГРЭС (БЛ 2) ДПМ"/>
    <hyperlink ref="C22" location="'НГРЭС Б3_П4'!A1" display="Няганская ГРЭС (БЛ 3) ДПМ"/>
    <hyperlink ref="C23" location="'АТЭЦ ДМ_П5'!A1" display="Аргаяшская ТЭЦ без ДПМ/НВ"/>
    <hyperlink ref="C24" location="'АТЭЦ НМ_П5'!A1" display="Аргаяшская ТЭЦ (ТГ 4)"/>
    <hyperlink ref="C25" location="'ЧТЭЦ-1 ДМ_П5'!A1" display="Челябинская ТЭЦ-1 без ДПМ/НВ"/>
    <hyperlink ref="C26" location="'ЧТЭЦ-1 НМ_П5'!A1" display="Челябинская ТЭЦ-1 (ТГ-10, ТГ-11) НВ"/>
    <hyperlink ref="C27" location="'ЧТЭЦ-2_П5'!A1" display="Челябинская ТЭЦ-2"/>
    <hyperlink ref="C28" location="'ЧТЭЦ-3 ДМ_П5'!A1" display="Челябинская ТЭЦ-3 без ДПМ/НВ"/>
    <hyperlink ref="C29" location="'ЧТЭЦ-3 НМ_П5'!A1" display="Челябинская ТЭЦ-3 (БЛ 3) ДПМ"/>
    <hyperlink ref="C30" location="'ЧГРЭС ДМ_П5'!A1" display="Челябинская ГРЭС без ДПМ/НВ"/>
    <hyperlink ref="C31" location="'ЧГРЭС Б1_П5'!A1" display="Челябинская ГРЭС (БЛ 1) ДПМ"/>
    <hyperlink ref="C32" location="'ЧГРЭС Б2_П5'!A1" display="Челябинская ГРЭС (БЛ 2) ДПМ"/>
    <hyperlink ref="C33" location="'ЧГРЭС Б3_П5'!A1" display="Челябинская ГРЭС (БЛ 3) НВ"/>
    <hyperlink ref="C34" location="'ТТЭЦ-1 ДМ_П5'!A1" display="Тюменская ТЭЦ-1 без ДПМ/НВ"/>
    <hyperlink ref="C35" location="'ТТЭЦ-1 НМ_П5'!A1" display="Тюменская ТЭЦ-1 (БЛ 2) ДПМ"/>
    <hyperlink ref="C36" location="'ТТЭЦ-2_П5'!A1" display="Тюменская ТЭЦ-2"/>
    <hyperlink ref="C37" location="'НГРЭС Б1_П5'!A1" display="Няганская ГРЭС (БЛ 1) ДПМ"/>
    <hyperlink ref="C38" location="'НГРЭС Б2_П5'!A1" display="Няганская ГРЭС (БЛ 2) ДПМ"/>
    <hyperlink ref="C39" location="'НГРЭС Б3_П5'!A1" display="Няганская ГРЭС (БЛ 3) ДПМ"/>
    <hyperlink ref="C5" location="'Информация об организации'!A1" display="Публичное акционерное общество &quot;Фортум&quot;"/>
  </hyperlinks>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E50" sqref="E50"/>
      <selection pane="topRight" activeCell="E50" sqref="E50"/>
      <selection pane="bottomLeft" activeCell="E50" sqref="E50"/>
      <selection pane="bottomRight" activeCell="E49" sqref="E49"/>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176</v>
      </c>
    </row>
    <row r="2" spans="1:6">
      <c r="F2" s="34" t="s">
        <v>77</v>
      </c>
    </row>
    <row r="4" spans="1:6">
      <c r="A4" s="99" t="s">
        <v>39</v>
      </c>
      <c r="B4" s="99"/>
      <c r="C4" s="99"/>
      <c r="D4" s="99"/>
      <c r="E4" s="99"/>
      <c r="F4" s="99"/>
    </row>
    <row r="5" spans="1:6">
      <c r="A5" s="99" t="str">
        <f>Титульный!$C$17</f>
        <v>Челябинская ГРЭС (БЛ 2) ДПМ</v>
      </c>
      <c r="B5" s="99"/>
      <c r="C5" s="99"/>
      <c r="D5" s="99"/>
      <c r="E5" s="99"/>
      <c r="F5" s="99"/>
    </row>
    <row r="6" spans="1:6">
      <c r="A6" s="53"/>
      <c r="B6" s="53"/>
      <c r="C6" s="53"/>
      <c r="D6" s="53"/>
      <c r="E6" s="53"/>
      <c r="F6" s="53"/>
    </row>
    <row r="7" spans="1:6" s="8" customFormat="1" ht="38.25">
      <c r="A7" s="100" t="s">
        <v>1</v>
      </c>
      <c r="B7" s="100" t="s">
        <v>9</v>
      </c>
      <c r="C7" s="100" t="s">
        <v>10</v>
      </c>
      <c r="D7" s="54" t="s">
        <v>149</v>
      </c>
      <c r="E7" s="54" t="s">
        <v>150</v>
      </c>
      <c r="F7" s="54" t="s">
        <v>151</v>
      </c>
    </row>
    <row r="8" spans="1:6" s="8" customFormat="1">
      <c r="A8" s="100"/>
      <c r="B8" s="100"/>
      <c r="C8" s="100"/>
      <c r="D8" s="54">
        <f>Титульный!$B$5-2</f>
        <v>2017</v>
      </c>
      <c r="E8" s="54">
        <f>Титульный!$B$5-1</f>
        <v>2018</v>
      </c>
      <c r="F8" s="54">
        <f>Титульный!$B$5</f>
        <v>2019</v>
      </c>
    </row>
    <row r="9" spans="1:6" s="8" customFormat="1">
      <c r="A9" s="100"/>
      <c r="B9" s="100"/>
      <c r="C9" s="100"/>
      <c r="D9" s="54" t="s">
        <v>68</v>
      </c>
      <c r="E9" s="54" t="s">
        <v>68</v>
      </c>
      <c r="F9" s="54" t="s">
        <v>68</v>
      </c>
    </row>
    <row r="10" spans="1:6">
      <c r="A10" s="36" t="s">
        <v>88</v>
      </c>
      <c r="B10" s="37" t="s">
        <v>33</v>
      </c>
      <c r="C10" s="36" t="s">
        <v>35</v>
      </c>
      <c r="D10" s="29">
        <f>[29]Год!$H$11</f>
        <v>247.5</v>
      </c>
      <c r="E10" s="29">
        <f>'[30]0.1'!$I$11</f>
        <v>247.5</v>
      </c>
      <c r="F10" s="29">
        <f>'[30]0.1'!$L$11</f>
        <v>247.5</v>
      </c>
    </row>
    <row r="11" spans="1:6" ht="38.25">
      <c r="A11" s="36" t="s">
        <v>89</v>
      </c>
      <c r="B11" s="37" t="s">
        <v>34</v>
      </c>
      <c r="C11" s="36" t="s">
        <v>35</v>
      </c>
      <c r="D11" s="29">
        <f>[29]Год!$H$12-[29]Год!$H$14</f>
        <v>235.88088687275987</v>
      </c>
      <c r="E11" s="29">
        <f>'[30]0.1'!$I$12</f>
        <v>235.75607292200033</v>
      </c>
      <c r="F11" s="29">
        <f>'[30]0.1'!$L$12</f>
        <v>233.29993194444444</v>
      </c>
    </row>
    <row r="12" spans="1:6">
      <c r="A12" s="36" t="s">
        <v>90</v>
      </c>
      <c r="B12" s="37" t="s">
        <v>91</v>
      </c>
      <c r="C12" s="36" t="s">
        <v>152</v>
      </c>
      <c r="D12" s="29">
        <f>'[5]ЧГРЭС Б2'!$E$7</f>
        <v>1600.7049999999999</v>
      </c>
      <c r="E12" s="29">
        <f>'[30]0.1'!$I$13</f>
        <v>1705.54</v>
      </c>
      <c r="F12" s="29">
        <f>'[30]0.1'!$L$13</f>
        <v>1684.4164499999999</v>
      </c>
    </row>
    <row r="13" spans="1:6">
      <c r="A13" s="36" t="s">
        <v>92</v>
      </c>
      <c r="B13" s="37" t="s">
        <v>93</v>
      </c>
      <c r="C13" s="36" t="s">
        <v>152</v>
      </c>
      <c r="D13" s="29">
        <f>'[5]ЧГРЭС Б2'!$E$22</f>
        <v>1502.7777019999999</v>
      </c>
      <c r="E13" s="29">
        <f>'[30]0.1'!$I$15</f>
        <v>1647.47</v>
      </c>
      <c r="F13" s="29">
        <f>'[30]0.1'!$L$15</f>
        <v>1557.63824</v>
      </c>
    </row>
    <row r="14" spans="1:6">
      <c r="A14" s="36" t="s">
        <v>94</v>
      </c>
      <c r="B14" s="37" t="s">
        <v>95</v>
      </c>
      <c r="C14" s="36" t="s">
        <v>96</v>
      </c>
      <c r="D14" s="29">
        <f>'[5]ЧГРЭС Б2'!$E$23</f>
        <v>578.43399999999997</v>
      </c>
      <c r="E14" s="29">
        <f>'[30]0.1'!$I$16</f>
        <v>867.42399999999998</v>
      </c>
      <c r="F14" s="29">
        <f>'[30]0.1'!$L$16</f>
        <v>513.64999999999986</v>
      </c>
    </row>
    <row r="15" spans="1:6">
      <c r="A15" s="36" t="s">
        <v>97</v>
      </c>
      <c r="B15" s="37" t="s">
        <v>98</v>
      </c>
      <c r="C15" s="36" t="s">
        <v>96</v>
      </c>
      <c r="D15" s="29">
        <f>'[5]ЧГРЭС Б2'!$E$26</f>
        <v>575.02099999999996</v>
      </c>
      <c r="E15" s="29">
        <f>'[30]0.1'!$I$17</f>
        <v>824.68399999999997</v>
      </c>
      <c r="F15" s="29">
        <f>'[30]0.1'!$L$17</f>
        <v>509.18273620799988</v>
      </c>
    </row>
    <row r="16" spans="1:6">
      <c r="A16" s="36" t="s">
        <v>99</v>
      </c>
      <c r="B16" s="37" t="s">
        <v>11</v>
      </c>
      <c r="C16" s="36" t="s">
        <v>100</v>
      </c>
      <c r="D16" s="41"/>
      <c r="E16" s="29">
        <f>'[30]0.1'!$I$43</f>
        <v>1471178.3116819346</v>
      </c>
      <c r="F16" s="29">
        <f>'[30]0.1'!$L$43</f>
        <v>1373609.7785935313</v>
      </c>
    </row>
    <row r="17" spans="1:8">
      <c r="A17" s="36" t="s">
        <v>101</v>
      </c>
      <c r="B17" s="38" t="s">
        <v>14</v>
      </c>
      <c r="C17" s="36" t="s">
        <v>100</v>
      </c>
      <c r="D17" s="41"/>
      <c r="E17" s="29">
        <f>'[30]0.1'!$G$43</f>
        <v>1471178.3116819346</v>
      </c>
      <c r="F17" s="29">
        <f>'[30]0.1'!$J$43</f>
        <v>1373609.7785935313</v>
      </c>
    </row>
    <row r="18" spans="1:8">
      <c r="A18" s="36" t="s">
        <v>102</v>
      </c>
      <c r="B18" s="38" t="s">
        <v>15</v>
      </c>
      <c r="C18" s="36" t="s">
        <v>100</v>
      </c>
      <c r="D18" s="41"/>
      <c r="E18" s="29">
        <f>'[30]0.1'!$H$43</f>
        <v>0</v>
      </c>
      <c r="F18" s="29">
        <f>'[30]0.1'!$K$43</f>
        <v>0</v>
      </c>
    </row>
    <row r="19" spans="1:8" ht="25.5">
      <c r="A19" s="36" t="s">
        <v>103</v>
      </c>
      <c r="B19" s="38" t="s">
        <v>16</v>
      </c>
      <c r="C19" s="36" t="s">
        <v>100</v>
      </c>
      <c r="D19" s="41"/>
      <c r="E19" s="41"/>
      <c r="F19" s="41"/>
    </row>
    <row r="20" spans="1:8">
      <c r="A20" s="36" t="s">
        <v>104</v>
      </c>
      <c r="B20" s="37" t="s">
        <v>105</v>
      </c>
      <c r="C20" s="36" t="s">
        <v>100</v>
      </c>
      <c r="D20" s="29">
        <f>'[5]ЧГРЭС Б2'!$E$235</f>
        <v>1396049.0206099998</v>
      </c>
      <c r="E20" s="29">
        <f>'[30]0.1'!$I$31</f>
        <v>1991901.6205680596</v>
      </c>
      <c r="F20" s="29">
        <f>'[30]0.1'!$L$31</f>
        <v>1697517.6095841958</v>
      </c>
      <c r="G20" s="47"/>
      <c r="H20" s="47"/>
    </row>
    <row r="21" spans="1:8">
      <c r="A21" s="36" t="s">
        <v>106</v>
      </c>
      <c r="B21" s="38" t="s">
        <v>107</v>
      </c>
      <c r="C21" s="36" t="s">
        <v>100</v>
      </c>
      <c r="D21" s="29">
        <f>'[5]ЧГРЭС Б2'!$E$255</f>
        <v>1174156.1782000002</v>
      </c>
      <c r="E21" s="29">
        <f>'[30]0.1'!$I$32</f>
        <v>1469333.0134843346</v>
      </c>
      <c r="F21" s="29">
        <f>'[30]0.1'!$L$32</f>
        <v>1371785.0910654746</v>
      </c>
      <c r="G21" s="47"/>
      <c r="H21" s="47"/>
    </row>
    <row r="22" spans="1:8" ht="25.5">
      <c r="A22" s="36"/>
      <c r="B22" s="38" t="s">
        <v>108</v>
      </c>
      <c r="C22" s="36" t="s">
        <v>36</v>
      </c>
      <c r="D22" s="29">
        <f>'[5]ЧГРЭС Б2'!$E$31</f>
        <v>229.43510361724285</v>
      </c>
      <c r="E22" s="29">
        <f>'[30]4'!$L$24</f>
        <v>242.2</v>
      </c>
      <c r="F22" s="29">
        <f>'[30]4'!$M$24</f>
        <v>226.6</v>
      </c>
      <c r="G22" s="47"/>
      <c r="H22" s="47"/>
    </row>
    <row r="23" spans="1:8">
      <c r="A23" s="36" t="s">
        <v>109</v>
      </c>
      <c r="B23" s="38" t="s">
        <v>110</v>
      </c>
      <c r="C23" s="36" t="s">
        <v>100</v>
      </c>
      <c r="D23" s="29">
        <f>D20-D21</f>
        <v>221892.84240999958</v>
      </c>
      <c r="E23" s="29">
        <f>'[30]0.1'!$I$33</f>
        <v>522568.60708372504</v>
      </c>
      <c r="F23" s="29">
        <f>'[30]0.1'!$L$33</f>
        <v>325732.51851872122</v>
      </c>
    </row>
    <row r="24" spans="1:8">
      <c r="A24" s="36"/>
      <c r="B24" s="38" t="s">
        <v>111</v>
      </c>
      <c r="C24" s="36" t="s">
        <v>112</v>
      </c>
      <c r="D24" s="29">
        <f>'[5]ЧГРЭС Б2'!$E$36</f>
        <v>113.43558642818367</v>
      </c>
      <c r="E24" s="29">
        <f>'[30]4'!$L$28</f>
        <v>163.6</v>
      </c>
      <c r="F24" s="29">
        <f>'[30]4'!$M$28</f>
        <v>167.09</v>
      </c>
    </row>
    <row r="25" spans="1:8" ht="25.5">
      <c r="A25" s="36"/>
      <c r="B25" s="9" t="s">
        <v>113</v>
      </c>
      <c r="C25" s="36" t="s">
        <v>32</v>
      </c>
      <c r="D25" s="67" t="s">
        <v>195</v>
      </c>
      <c r="E25" s="67" t="s">
        <v>195</v>
      </c>
      <c r="F25" s="41"/>
    </row>
    <row r="26" spans="1:8">
      <c r="A26" s="36" t="s">
        <v>114</v>
      </c>
      <c r="B26" s="9" t="s">
        <v>17</v>
      </c>
      <c r="C26" s="36" t="s">
        <v>100</v>
      </c>
      <c r="D26" s="41"/>
      <c r="E26" s="41"/>
      <c r="F26" s="41"/>
    </row>
    <row r="27" spans="1:8" ht="25.5">
      <c r="A27" s="36" t="s">
        <v>115</v>
      </c>
      <c r="B27" s="9" t="s">
        <v>12</v>
      </c>
      <c r="C27" s="36" t="s">
        <v>32</v>
      </c>
      <c r="D27" s="41"/>
      <c r="E27" s="41"/>
      <c r="F27" s="41"/>
    </row>
    <row r="28" spans="1:8">
      <c r="A28" s="36" t="s">
        <v>116</v>
      </c>
      <c r="B28" s="38" t="s">
        <v>117</v>
      </c>
      <c r="C28" s="36" t="s">
        <v>118</v>
      </c>
      <c r="D28" s="41"/>
      <c r="E28" s="41"/>
      <c r="F28" s="41"/>
    </row>
    <row r="29" spans="1:8" ht="25.5">
      <c r="A29" s="39" t="s">
        <v>119</v>
      </c>
      <c r="B29" s="38" t="s">
        <v>120</v>
      </c>
      <c r="C29" s="54" t="s">
        <v>121</v>
      </c>
      <c r="D29" s="41"/>
      <c r="E29" s="41"/>
      <c r="F29" s="41"/>
    </row>
    <row r="30" spans="1:8" ht="25.5">
      <c r="A30" s="36" t="s">
        <v>122</v>
      </c>
      <c r="B30" s="38" t="s">
        <v>123</v>
      </c>
      <c r="C30" s="36" t="s">
        <v>32</v>
      </c>
      <c r="D30" s="41"/>
      <c r="E30" s="41"/>
      <c r="F30" s="41"/>
    </row>
    <row r="31" spans="1:8">
      <c r="A31" s="36" t="s">
        <v>124</v>
      </c>
      <c r="B31" s="9" t="s">
        <v>125</v>
      </c>
      <c r="C31" s="36" t="s">
        <v>100</v>
      </c>
      <c r="D31" s="29">
        <f>SUM(D32:D35)</f>
        <v>2326817.46716</v>
      </c>
      <c r="E31" s="41"/>
      <c r="F31" s="41"/>
      <c r="G31" s="47"/>
    </row>
    <row r="32" spans="1:8">
      <c r="A32" s="36" t="s">
        <v>126</v>
      </c>
      <c r="B32" s="38" t="s">
        <v>18</v>
      </c>
      <c r="C32" s="36" t="s">
        <v>100</v>
      </c>
      <c r="D32" s="29">
        <v>1455489.8242500001</v>
      </c>
      <c r="E32" s="41"/>
      <c r="F32" s="41"/>
    </row>
    <row r="33" spans="1:6">
      <c r="A33" s="36" t="s">
        <v>127</v>
      </c>
      <c r="B33" s="38" t="s">
        <v>19</v>
      </c>
      <c r="C33" s="36" t="s">
        <v>100</v>
      </c>
      <c r="D33" s="29">
        <v>520398.31179000001</v>
      </c>
      <c r="E33" s="41"/>
      <c r="F33" s="41"/>
    </row>
    <row r="34" spans="1:6" ht="25.5">
      <c r="A34" s="36" t="s">
        <v>128</v>
      </c>
      <c r="B34" s="38" t="s">
        <v>20</v>
      </c>
      <c r="C34" s="36" t="s">
        <v>100</v>
      </c>
      <c r="D34" s="29">
        <v>350929.33111999999</v>
      </c>
      <c r="E34" s="41"/>
      <c r="F34" s="41"/>
    </row>
    <row r="35" spans="1:6">
      <c r="A35" s="36" t="s">
        <v>179</v>
      </c>
      <c r="B35" s="38" t="s">
        <v>180</v>
      </c>
      <c r="C35" s="36" t="s">
        <v>100</v>
      </c>
      <c r="D35" s="29">
        <v>0</v>
      </c>
      <c r="E35" s="41"/>
      <c r="F35" s="41"/>
    </row>
    <row r="36" spans="1:6">
      <c r="A36" s="36" t="s">
        <v>129</v>
      </c>
      <c r="B36" s="9" t="s">
        <v>130</v>
      </c>
      <c r="C36" s="36" t="s">
        <v>100</v>
      </c>
      <c r="D36" s="41"/>
      <c r="E36" s="41"/>
      <c r="F36" s="41"/>
    </row>
    <row r="37" spans="1:6">
      <c r="A37" s="36" t="s">
        <v>131</v>
      </c>
      <c r="B37" s="38" t="s">
        <v>21</v>
      </c>
      <c r="C37" s="36" t="s">
        <v>100</v>
      </c>
      <c r="D37" s="41"/>
      <c r="E37" s="41"/>
      <c r="F37" s="41"/>
    </row>
    <row r="38" spans="1:6">
      <c r="A38" s="36" t="s">
        <v>132</v>
      </c>
      <c r="B38" s="38" t="s">
        <v>40</v>
      </c>
      <c r="C38" s="36" t="s">
        <v>100</v>
      </c>
      <c r="D38" s="41"/>
      <c r="E38" s="41"/>
      <c r="F38" s="41"/>
    </row>
    <row r="39" spans="1:6">
      <c r="A39" s="36" t="s">
        <v>133</v>
      </c>
      <c r="B39" s="9" t="s">
        <v>134</v>
      </c>
      <c r="C39" s="36" t="s">
        <v>100</v>
      </c>
      <c r="D39" s="41"/>
      <c r="E39" s="41"/>
      <c r="F39" s="41"/>
    </row>
    <row r="40" spans="1:6">
      <c r="A40" s="36" t="s">
        <v>135</v>
      </c>
      <c r="B40" s="38" t="s">
        <v>18</v>
      </c>
      <c r="C40" s="36" t="s">
        <v>100</v>
      </c>
      <c r="D40" s="41"/>
      <c r="E40" s="41"/>
      <c r="F40" s="41"/>
    </row>
    <row r="41" spans="1:6">
      <c r="A41" s="36" t="s">
        <v>136</v>
      </c>
      <c r="B41" s="38" t="s">
        <v>19</v>
      </c>
      <c r="C41" s="36" t="s">
        <v>100</v>
      </c>
      <c r="D41" s="41"/>
      <c r="E41" s="41"/>
      <c r="F41" s="41"/>
    </row>
    <row r="42" spans="1:6" ht="25.5">
      <c r="A42" s="36" t="s">
        <v>137</v>
      </c>
      <c r="B42" s="38" t="s">
        <v>20</v>
      </c>
      <c r="C42" s="36" t="s">
        <v>100</v>
      </c>
      <c r="D42" s="41"/>
      <c r="E42" s="41"/>
      <c r="F42" s="41"/>
    </row>
    <row r="43" spans="1:6" ht="25.5">
      <c r="A43" s="36" t="s">
        <v>138</v>
      </c>
      <c r="B43" s="9" t="s">
        <v>139</v>
      </c>
      <c r="C43" s="36" t="s">
        <v>100</v>
      </c>
      <c r="D43" s="41"/>
      <c r="E43" s="41"/>
      <c r="F43" s="41"/>
    </row>
    <row r="44" spans="1:6">
      <c r="A44" s="36" t="s">
        <v>140</v>
      </c>
      <c r="B44" s="38" t="s">
        <v>18</v>
      </c>
      <c r="C44" s="36" t="s">
        <v>100</v>
      </c>
      <c r="D44" s="41"/>
      <c r="E44" s="41"/>
      <c r="F44" s="41"/>
    </row>
    <row r="45" spans="1:6">
      <c r="A45" s="36" t="s">
        <v>141</v>
      </c>
      <c r="B45" s="38" t="s">
        <v>19</v>
      </c>
      <c r="C45" s="36" t="s">
        <v>100</v>
      </c>
      <c r="D45" s="41"/>
      <c r="E45" s="41"/>
      <c r="F45" s="41"/>
    </row>
    <row r="46" spans="1:6" ht="25.5">
      <c r="A46" s="36" t="s">
        <v>142</v>
      </c>
      <c r="B46" s="38" t="s">
        <v>20</v>
      </c>
      <c r="C46" s="36" t="s">
        <v>100</v>
      </c>
      <c r="D46" s="41"/>
      <c r="E46" s="41"/>
      <c r="F46" s="41"/>
    </row>
    <row r="47" spans="1:6">
      <c r="A47" s="36" t="s">
        <v>143</v>
      </c>
      <c r="B47" s="9" t="s">
        <v>178</v>
      </c>
      <c r="C47" s="36" t="s">
        <v>100</v>
      </c>
      <c r="D47" s="52">
        <v>12200091</v>
      </c>
      <c r="E47" s="41"/>
      <c r="F47" s="41"/>
    </row>
    <row r="48" spans="1:6" ht="25.5">
      <c r="A48" s="36" t="s">
        <v>144</v>
      </c>
      <c r="B48" s="9" t="s">
        <v>177</v>
      </c>
      <c r="C48" s="36" t="s">
        <v>145</v>
      </c>
      <c r="D48" s="31">
        <f>19896480/65281414</f>
        <v>0.30478016300320948</v>
      </c>
      <c r="E48" s="41"/>
      <c r="F48" s="41"/>
    </row>
    <row r="49" spans="1:6" ht="229.5">
      <c r="A49" s="36" t="s">
        <v>146</v>
      </c>
      <c r="B49" s="9" t="s">
        <v>13</v>
      </c>
      <c r="C49" s="36" t="s">
        <v>32</v>
      </c>
      <c r="D49" s="9" t="s">
        <v>197</v>
      </c>
      <c r="E49" s="9" t="s">
        <v>200</v>
      </c>
      <c r="F49" s="9" t="s">
        <v>147</v>
      </c>
    </row>
    <row r="50" spans="1:6">
      <c r="B50" s="8"/>
    </row>
    <row r="51" spans="1:6">
      <c r="A51" s="98" t="s">
        <v>148</v>
      </c>
      <c r="B51" s="98"/>
      <c r="C51" s="98"/>
      <c r="D51" s="98"/>
      <c r="E51" s="98"/>
      <c r="F51" s="98"/>
    </row>
    <row r="52" spans="1:6">
      <c r="A52" s="98" t="s">
        <v>186</v>
      </c>
      <c r="B52" s="98"/>
      <c r="C52" s="98"/>
      <c r="D52" s="98"/>
      <c r="E52" s="98"/>
      <c r="F52" s="98"/>
    </row>
  </sheetData>
  <mergeCells count="7">
    <mergeCell ref="A51:F51"/>
    <mergeCell ref="A52:F52"/>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activeCell="A33" sqref="A33"/>
      <selection pane="topRight" activeCell="A33" sqref="A33"/>
      <selection pane="bottomLeft" activeCell="A33" sqref="A33"/>
      <selection pane="bottomRight" activeCell="G11" sqref="G11"/>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175</v>
      </c>
    </row>
    <row r="2" spans="1:11">
      <c r="F2" s="27"/>
      <c r="I2" s="26" t="s">
        <v>77</v>
      </c>
    </row>
    <row r="3" spans="1:11">
      <c r="F3" s="27"/>
    </row>
    <row r="4" spans="1:11">
      <c r="A4" s="79" t="s">
        <v>41</v>
      </c>
      <c r="B4" s="97"/>
      <c r="C4" s="97"/>
      <c r="D4" s="97"/>
      <c r="E4" s="97"/>
      <c r="F4" s="97"/>
      <c r="G4" s="97"/>
      <c r="H4" s="97"/>
      <c r="I4" s="97"/>
    </row>
    <row r="5" spans="1:11">
      <c r="A5" s="79" t="str">
        <f>Титульный!$C$17</f>
        <v>Челябинская ГРЭС (БЛ 2) ДПМ</v>
      </c>
      <c r="B5" s="97"/>
      <c r="C5" s="97"/>
      <c r="D5" s="97"/>
      <c r="E5" s="97"/>
      <c r="F5" s="97"/>
      <c r="G5" s="97"/>
      <c r="H5" s="97"/>
      <c r="I5" s="97"/>
    </row>
    <row r="7" spans="1:11" s="3" customFormat="1" ht="32.25" customHeight="1">
      <c r="A7" s="101" t="s">
        <v>87</v>
      </c>
      <c r="B7" s="101" t="s">
        <v>9</v>
      </c>
      <c r="C7" s="101" t="s">
        <v>153</v>
      </c>
      <c r="D7" s="101" t="s">
        <v>173</v>
      </c>
      <c r="E7" s="101"/>
      <c r="F7" s="101" t="s">
        <v>150</v>
      </c>
      <c r="G7" s="101"/>
      <c r="H7" s="101" t="s">
        <v>151</v>
      </c>
      <c r="I7" s="101"/>
      <c r="K7" s="56"/>
    </row>
    <row r="8" spans="1:11" s="3" customFormat="1">
      <c r="A8" s="101"/>
      <c r="B8" s="101"/>
      <c r="C8" s="101"/>
      <c r="D8" s="42">
        <f>Титульный!$B$5-2</f>
        <v>2017</v>
      </c>
      <c r="E8" s="43" t="s">
        <v>68</v>
      </c>
      <c r="F8" s="42">
        <f>Титульный!$B$5-1</f>
        <v>2018</v>
      </c>
      <c r="G8" s="43" t="s">
        <v>68</v>
      </c>
      <c r="H8" s="42">
        <f>Титульный!$B$5</f>
        <v>2019</v>
      </c>
      <c r="I8" s="43" t="s">
        <v>68</v>
      </c>
      <c r="K8" s="56"/>
    </row>
    <row r="9" spans="1:11" s="3" customFormat="1">
      <c r="A9" s="101"/>
      <c r="B9" s="101"/>
      <c r="C9" s="101"/>
      <c r="D9" s="55" t="s">
        <v>22</v>
      </c>
      <c r="E9" s="55" t="s">
        <v>23</v>
      </c>
      <c r="F9" s="55" t="s">
        <v>22</v>
      </c>
      <c r="G9" s="55" t="s">
        <v>23</v>
      </c>
      <c r="H9" s="55" t="s">
        <v>22</v>
      </c>
      <c r="I9" s="55" t="s">
        <v>23</v>
      </c>
    </row>
    <row r="10" spans="1:11" ht="12.75" customHeight="1">
      <c r="A10" s="102" t="s">
        <v>170</v>
      </c>
      <c r="B10" s="103"/>
      <c r="C10" s="103"/>
      <c r="D10" s="103"/>
      <c r="E10" s="103"/>
      <c r="F10" s="103"/>
      <c r="G10" s="103"/>
      <c r="H10" s="103"/>
      <c r="I10" s="104"/>
    </row>
    <row r="11" spans="1:11" ht="12.75" customHeight="1">
      <c r="A11" s="54" t="s">
        <v>154</v>
      </c>
      <c r="B11" s="37" t="s">
        <v>155</v>
      </c>
      <c r="C11" s="36" t="s">
        <v>168</v>
      </c>
      <c r="D11" s="29">
        <f>'[7]Утв. тарифы на ЭЭ и ЭМ'!E21</f>
        <v>831.54</v>
      </c>
      <c r="E11" s="29">
        <f>'[7]Утв. тарифы на ЭЭ и ЭМ'!F21</f>
        <v>863.62</v>
      </c>
      <c r="F11" s="29">
        <f>E11</f>
        <v>863.62</v>
      </c>
      <c r="G11" s="29">
        <f>'[30]0.1'!$G$20</f>
        <v>892.99247432847619</v>
      </c>
      <c r="H11" s="105">
        <f>'[30]0.1'!$L$20</f>
        <v>881.85417083335824</v>
      </c>
      <c r="I11" s="106"/>
      <c r="K11" s="65" t="b">
        <f>ROUND([9]Лист1!$D$118,1)=ROUND(H11,1)</f>
        <v>1</v>
      </c>
    </row>
    <row r="12" spans="1:11" ht="12.75" customHeight="1">
      <c r="A12" s="54"/>
      <c r="B12" s="45" t="s">
        <v>171</v>
      </c>
      <c r="C12" s="36" t="s">
        <v>168</v>
      </c>
      <c r="D12" s="29">
        <f>('[5]ЧГРЭС Б2'!$F$255+'[5]ЧГРЭС Б2'!$G$255+'[5]ЧГРЭС Б2'!$H$255+'[5]ЧГРЭС Б2'!$J$255+'[5]ЧГРЭС Б2'!$K$255+'[5]ЧГРЭС Б2'!$L$255)/('[5]ЧГРЭС Б2'!$F$22+'[5]ЧГРЭС Б2'!$G$22+'[5]ЧГРЭС Б2'!$H$22+'[5]ЧГРЭС Б2'!$J$22+'[5]ЧГРЭС Б2'!$K$22+'[5]ЧГРЭС Б2'!$L$22)</f>
        <v>751.84808454212759</v>
      </c>
      <c r="E12" s="29">
        <f>('[5]ЧГРЭС Б2'!$N$255+'[5]ЧГРЭС Б2'!$O$255+'[5]ЧГРЭС Б2'!$P$255+'[5]ЧГРЭС Б2'!$R$255+'[5]ЧГРЭС Б2'!$S$255+'[5]ЧГРЭС Б2'!$T$255)/('[5]ЧГРЭС Б2'!$N$22+'[5]ЧГРЭС Б2'!$O$22+'[5]ЧГРЭС Б2'!$P$22+'[5]ЧГРЭС Б2'!$R$22+'[5]ЧГРЭС Б2'!$S$22+'[5]ЧГРЭС Б2'!$T$22)</f>
        <v>811.72307523717882</v>
      </c>
      <c r="F12" s="29">
        <f>'[30]2.2'!$G$170</f>
        <v>862.54583590761717</v>
      </c>
      <c r="G12" s="29">
        <f>'[30]2.1'!$G$170</f>
        <v>891.87239432847616</v>
      </c>
      <c r="H12" s="105">
        <f>'[30]2'!$G$170</f>
        <v>880.68272583335818</v>
      </c>
      <c r="I12" s="106"/>
    </row>
    <row r="13" spans="1:11" ht="12.75" customHeight="1">
      <c r="A13" s="54" t="s">
        <v>156</v>
      </c>
      <c r="B13" s="37" t="s">
        <v>157</v>
      </c>
      <c r="C13" s="36" t="s">
        <v>158</v>
      </c>
      <c r="D13" s="44"/>
      <c r="E13" s="44"/>
      <c r="F13" s="44"/>
      <c r="G13" s="44"/>
      <c r="H13" s="44"/>
      <c r="I13" s="44"/>
    </row>
    <row r="14" spans="1:11" ht="27.75" customHeight="1">
      <c r="A14" s="54" t="s">
        <v>159</v>
      </c>
      <c r="B14" s="37" t="s">
        <v>174</v>
      </c>
      <c r="C14" s="36" t="s">
        <v>47</v>
      </c>
      <c r="D14" s="105">
        <f>'ЧГРЭС Б1_П5'!D14:E14</f>
        <v>641.93004009946117</v>
      </c>
      <c r="E14" s="106"/>
      <c r="F14" s="105">
        <f>'ЧГРЭС Б1_П5'!F14:G14</f>
        <v>641.81403648616254</v>
      </c>
      <c r="G14" s="106"/>
      <c r="H14" s="105">
        <f>'ЧГРЭС Б1_П5'!H14:I14</f>
        <v>971.98007895896069</v>
      </c>
      <c r="I14" s="106"/>
    </row>
    <row r="15" spans="1:11" ht="26.25" customHeight="1">
      <c r="A15" s="54" t="s">
        <v>160</v>
      </c>
      <c r="B15" s="46" t="s">
        <v>48</v>
      </c>
      <c r="C15" s="36" t="s">
        <v>47</v>
      </c>
      <c r="D15" s="29">
        <f>'ЧГРЭС Б1_П5'!D15</f>
        <v>641.62</v>
      </c>
      <c r="E15" s="29">
        <f>'ЧГРЭС Б1_П5'!E15</f>
        <v>641.62</v>
      </c>
      <c r="F15" s="29">
        <f>'ЧГРЭС Б1_П5'!F15</f>
        <v>641.62</v>
      </c>
      <c r="G15" s="29">
        <f>'ЧГРЭС Б1_П5'!G15</f>
        <v>641.62</v>
      </c>
      <c r="H15" s="105">
        <f>'ЧГРЭС Б1_П5'!H15:I15</f>
        <v>971.50953804854021</v>
      </c>
      <c r="I15" s="106"/>
    </row>
    <row r="16" spans="1:11" ht="12.75" customHeight="1">
      <c r="A16" s="54" t="s">
        <v>161</v>
      </c>
      <c r="B16" s="46" t="s">
        <v>49</v>
      </c>
      <c r="C16" s="36" t="s">
        <v>47</v>
      </c>
      <c r="D16" s="44"/>
      <c r="E16" s="44"/>
      <c r="F16" s="44"/>
      <c r="G16" s="44"/>
      <c r="H16" s="44"/>
      <c r="I16" s="44"/>
    </row>
    <row r="17" spans="1:9" ht="12.75" customHeight="1">
      <c r="A17" s="54"/>
      <c r="B17" s="38" t="s">
        <v>50</v>
      </c>
      <c r="C17" s="36" t="s">
        <v>47</v>
      </c>
      <c r="D17" s="44"/>
      <c r="E17" s="44"/>
      <c r="F17" s="44"/>
      <c r="G17" s="44"/>
      <c r="H17" s="44"/>
      <c r="I17" s="44"/>
    </row>
    <row r="18" spans="1:9" ht="12.75" customHeight="1">
      <c r="A18" s="54"/>
      <c r="B18" s="38" t="s">
        <v>51</v>
      </c>
      <c r="C18" s="36" t="s">
        <v>47</v>
      </c>
      <c r="D18" s="44"/>
      <c r="E18" s="44"/>
      <c r="F18" s="44"/>
      <c r="G18" s="44"/>
      <c r="H18" s="44"/>
      <c r="I18" s="44"/>
    </row>
    <row r="19" spans="1:9" ht="12.75" customHeight="1">
      <c r="A19" s="54"/>
      <c r="B19" s="38" t="s">
        <v>52</v>
      </c>
      <c r="C19" s="36" t="s">
        <v>47</v>
      </c>
      <c r="D19" s="44"/>
      <c r="E19" s="44"/>
      <c r="F19" s="44"/>
      <c r="G19" s="44"/>
      <c r="H19" s="44"/>
      <c r="I19" s="44"/>
    </row>
    <row r="20" spans="1:9" ht="12.75" customHeight="1">
      <c r="A20" s="54"/>
      <c r="B20" s="38" t="s">
        <v>53</v>
      </c>
      <c r="C20" s="36" t="s">
        <v>47</v>
      </c>
      <c r="D20" s="44"/>
      <c r="E20" s="44"/>
      <c r="F20" s="44"/>
      <c r="G20" s="44"/>
      <c r="H20" s="44"/>
      <c r="I20" s="44"/>
    </row>
    <row r="21" spans="1:9" ht="12.75" customHeight="1">
      <c r="A21" s="54" t="s">
        <v>162</v>
      </c>
      <c r="B21" s="46" t="s">
        <v>54</v>
      </c>
      <c r="C21" s="36" t="s">
        <v>47</v>
      </c>
      <c r="D21" s="44"/>
      <c r="E21" s="44"/>
      <c r="F21" s="44"/>
      <c r="G21" s="44"/>
      <c r="H21" s="44"/>
      <c r="I21" s="44"/>
    </row>
    <row r="22" spans="1:9" ht="12.75" customHeight="1">
      <c r="A22" s="54" t="s">
        <v>163</v>
      </c>
      <c r="B22" s="37" t="s">
        <v>55</v>
      </c>
      <c r="C22" s="36" t="s">
        <v>32</v>
      </c>
      <c r="D22" s="44"/>
      <c r="E22" s="44"/>
      <c r="F22" s="44"/>
      <c r="G22" s="44"/>
      <c r="H22" s="44"/>
      <c r="I22" s="44"/>
    </row>
    <row r="23" spans="1:9" ht="25.5" customHeight="1">
      <c r="A23" s="54" t="s">
        <v>164</v>
      </c>
      <c r="B23" s="38" t="s">
        <v>56</v>
      </c>
      <c r="C23" s="54" t="s">
        <v>57</v>
      </c>
      <c r="D23" s="44"/>
      <c r="E23" s="44"/>
      <c r="F23" s="44"/>
      <c r="G23" s="44"/>
      <c r="H23" s="44"/>
      <c r="I23" s="44"/>
    </row>
    <row r="24" spans="1:9" ht="12.75" customHeight="1">
      <c r="A24" s="54" t="s">
        <v>165</v>
      </c>
      <c r="B24" s="46" t="s">
        <v>58</v>
      </c>
      <c r="C24" s="36" t="s">
        <v>47</v>
      </c>
      <c r="D24" s="44"/>
      <c r="E24" s="44"/>
      <c r="F24" s="44"/>
      <c r="G24" s="44"/>
      <c r="H24" s="44"/>
      <c r="I24" s="44"/>
    </row>
    <row r="25" spans="1:9" ht="12.75" customHeight="1">
      <c r="A25" s="54" t="s">
        <v>166</v>
      </c>
      <c r="B25" s="37" t="s">
        <v>59</v>
      </c>
      <c r="C25" s="36" t="s">
        <v>169</v>
      </c>
      <c r="D25" s="44"/>
      <c r="E25" s="44"/>
      <c r="F25" s="44"/>
      <c r="G25" s="44"/>
      <c r="H25" s="44"/>
      <c r="I25" s="44"/>
    </row>
    <row r="26" spans="1:9" ht="15" customHeight="1">
      <c r="A26" s="54"/>
      <c r="B26" s="38" t="s">
        <v>60</v>
      </c>
      <c r="C26" s="36" t="s">
        <v>169</v>
      </c>
      <c r="D26" s="29">
        <f>'ЧГРЭС Б1_П5'!D26</f>
        <v>28.16</v>
      </c>
      <c r="E26" s="29">
        <f>'ЧГРЭС Б1_П5'!E26</f>
        <v>40.31</v>
      </c>
      <c r="F26" s="29">
        <f>'ЧГРЭС Б1_П5'!F26</f>
        <v>35.270000000000003</v>
      </c>
      <c r="G26" s="29">
        <f>'ЧГРЭС Б1_П5'!G26</f>
        <v>35.270000000000003</v>
      </c>
      <c r="H26" s="105">
        <f>'ЧГРЭС Б1_П5'!H26</f>
        <v>88.970828118426738</v>
      </c>
      <c r="I26" s="108"/>
    </row>
    <row r="27" spans="1:9">
      <c r="A27" s="54"/>
      <c r="B27" s="38" t="s">
        <v>61</v>
      </c>
      <c r="C27" s="36" t="s">
        <v>169</v>
      </c>
      <c r="D27" s="44"/>
      <c r="E27" s="44"/>
      <c r="F27" s="44"/>
      <c r="G27" s="44"/>
      <c r="H27" s="44"/>
      <c r="I27" s="44"/>
    </row>
    <row r="28" spans="1:9">
      <c r="A28" s="8"/>
      <c r="B28" s="33"/>
      <c r="C28" s="32"/>
      <c r="D28" s="33"/>
      <c r="E28" s="33"/>
      <c r="F28" s="33"/>
      <c r="G28" s="33"/>
      <c r="H28" s="33"/>
      <c r="I28" s="33"/>
    </row>
    <row r="29" spans="1:9">
      <c r="A29" s="98" t="s">
        <v>167</v>
      </c>
      <c r="B29" s="98"/>
      <c r="C29" s="98"/>
      <c r="D29" s="98"/>
      <c r="E29" s="98"/>
      <c r="F29" s="98"/>
      <c r="G29" s="98"/>
      <c r="H29" s="98"/>
      <c r="I29" s="98"/>
    </row>
    <row r="30" spans="1:9">
      <c r="A30" s="98" t="s">
        <v>172</v>
      </c>
      <c r="B30" s="98"/>
      <c r="C30" s="98"/>
      <c r="D30" s="98"/>
      <c r="E30" s="98"/>
      <c r="F30" s="98"/>
      <c r="G30" s="98"/>
      <c r="H30" s="98"/>
      <c r="I30" s="98"/>
    </row>
    <row r="31" spans="1:9">
      <c r="A31" s="98" t="s">
        <v>181</v>
      </c>
      <c r="B31" s="98"/>
      <c r="C31" s="98"/>
      <c r="D31" s="98"/>
      <c r="E31" s="98"/>
      <c r="F31" s="98"/>
      <c r="G31" s="98"/>
      <c r="H31" s="98"/>
      <c r="I31" s="98"/>
    </row>
    <row r="32" spans="1:9">
      <c r="A32" s="98" t="s">
        <v>182</v>
      </c>
      <c r="B32" s="98"/>
      <c r="C32" s="98"/>
      <c r="D32" s="98"/>
      <c r="E32" s="98"/>
      <c r="F32" s="98"/>
      <c r="G32" s="98"/>
      <c r="H32" s="98"/>
      <c r="I32" s="98"/>
    </row>
  </sheetData>
  <mergeCells count="20">
    <mergeCell ref="A4:I4"/>
    <mergeCell ref="A5:I5"/>
    <mergeCell ref="A7:A9"/>
    <mergeCell ref="B7:B9"/>
    <mergeCell ref="C7:C9"/>
    <mergeCell ref="D7:E7"/>
    <mergeCell ref="F7:G7"/>
    <mergeCell ref="H7:I7"/>
    <mergeCell ref="A32:I32"/>
    <mergeCell ref="A10:I10"/>
    <mergeCell ref="H11:I11"/>
    <mergeCell ref="H12:I12"/>
    <mergeCell ref="A29:I29"/>
    <mergeCell ref="A30:I30"/>
    <mergeCell ref="A31:I31"/>
    <mergeCell ref="D14:E14"/>
    <mergeCell ref="F14:G14"/>
    <mergeCell ref="H14:I14"/>
    <mergeCell ref="H15:I15"/>
    <mergeCell ref="H26:I26"/>
  </mergeCells>
  <conditionalFormatting sqref="K11">
    <cfRule type="containsText" dxfId="19" priority="1" operator="containsText" text="ложь">
      <formula>NOT(ISERROR(SEARCH("ложь",K11)))</formula>
    </cfRule>
    <cfRule type="containsText" dxfId="18" priority="2" operator="containsText" text="истина">
      <formula>NOT(ISERROR(SEARCH("истина",K11)))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E50" sqref="E50"/>
      <selection pane="topRight" activeCell="E50" sqref="E50"/>
      <selection pane="bottomLeft" activeCell="E50" sqref="E50"/>
      <selection pane="bottomRight" activeCell="I49" sqref="I49"/>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176</v>
      </c>
    </row>
    <row r="2" spans="1:6">
      <c r="F2" s="34" t="s">
        <v>77</v>
      </c>
    </row>
    <row r="4" spans="1:6">
      <c r="A4" s="99" t="s">
        <v>39</v>
      </c>
      <c r="B4" s="99"/>
      <c r="C4" s="99"/>
      <c r="D4" s="99"/>
      <c r="E4" s="99"/>
      <c r="F4" s="99"/>
    </row>
    <row r="5" spans="1:6">
      <c r="A5" s="99" t="str">
        <f>Титульный!$C$18</f>
        <v>Челябинская ГРЭС (БЛ 3) НВ</v>
      </c>
      <c r="B5" s="99"/>
      <c r="C5" s="99"/>
      <c r="D5" s="99"/>
      <c r="E5" s="99"/>
      <c r="F5" s="99"/>
    </row>
    <row r="6" spans="1:6">
      <c r="A6" s="53"/>
      <c r="B6" s="53"/>
      <c r="C6" s="53"/>
      <c r="D6" s="53"/>
      <c r="E6" s="53"/>
      <c r="F6" s="53"/>
    </row>
    <row r="7" spans="1:6" s="8" customFormat="1" ht="38.25">
      <c r="A7" s="100" t="s">
        <v>1</v>
      </c>
      <c r="B7" s="100" t="s">
        <v>9</v>
      </c>
      <c r="C7" s="100" t="s">
        <v>10</v>
      </c>
      <c r="D7" s="54" t="s">
        <v>149</v>
      </c>
      <c r="E7" s="54" t="s">
        <v>150</v>
      </c>
      <c r="F7" s="54" t="s">
        <v>151</v>
      </c>
    </row>
    <row r="8" spans="1:6" s="8" customFormat="1">
      <c r="A8" s="100"/>
      <c r="B8" s="100"/>
      <c r="C8" s="100"/>
      <c r="D8" s="54">
        <f>Титульный!$B$5-2</f>
        <v>2017</v>
      </c>
      <c r="E8" s="54">
        <f>Титульный!$B$5-1</f>
        <v>2018</v>
      </c>
      <c r="F8" s="54">
        <f>Титульный!$B$5</f>
        <v>2019</v>
      </c>
    </row>
    <row r="9" spans="1:6" s="8" customFormat="1">
      <c r="A9" s="100"/>
      <c r="B9" s="100"/>
      <c r="C9" s="100"/>
      <c r="D9" s="54" t="s">
        <v>68</v>
      </c>
      <c r="E9" s="54" t="s">
        <v>68</v>
      </c>
      <c r="F9" s="54" t="s">
        <v>68</v>
      </c>
    </row>
    <row r="10" spans="1:6">
      <c r="A10" s="36" t="s">
        <v>88</v>
      </c>
      <c r="B10" s="37" t="s">
        <v>33</v>
      </c>
      <c r="C10" s="36" t="s">
        <v>35</v>
      </c>
      <c r="D10" s="29">
        <f>[31]Год!$H$11</f>
        <v>41.25</v>
      </c>
      <c r="E10" s="29">
        <f>'[32]0.1'!$I$11</f>
        <v>247.5</v>
      </c>
      <c r="F10" s="29">
        <f>'[32]0.1'!$L$11</f>
        <v>247.5</v>
      </c>
    </row>
    <row r="11" spans="1:6" ht="38.25">
      <c r="A11" s="36" t="s">
        <v>89</v>
      </c>
      <c r="B11" s="37" t="s">
        <v>34</v>
      </c>
      <c r="C11" s="36" t="s">
        <v>35</v>
      </c>
      <c r="D11" s="29">
        <f>[31]Год!$H$12-[31]Год!$H$14</f>
        <v>37.599955208333334</v>
      </c>
      <c r="E11" s="29">
        <f>'[32]0.1'!$I$12</f>
        <v>235.74626269416666</v>
      </c>
      <c r="F11" s="29">
        <f>'[32]0.1'!$L$12</f>
        <v>233.21727289426522</v>
      </c>
    </row>
    <row r="12" spans="1:6">
      <c r="A12" s="36" t="s">
        <v>90</v>
      </c>
      <c r="B12" s="37" t="s">
        <v>91</v>
      </c>
      <c r="C12" s="36" t="s">
        <v>152</v>
      </c>
      <c r="D12" s="29">
        <f>'[5]ЧГРЭС Б3'!$E$7</f>
        <v>758.84299999999996</v>
      </c>
      <c r="E12" s="29">
        <f>'[32]0.1'!$I$13</f>
        <v>1634.288</v>
      </c>
      <c r="F12" s="29">
        <f>'[32]0.1'!$L$13</f>
        <v>1699.4006899999999</v>
      </c>
    </row>
    <row r="13" spans="1:6">
      <c r="A13" s="36" t="s">
        <v>92</v>
      </c>
      <c r="B13" s="37" t="s">
        <v>93</v>
      </c>
      <c r="C13" s="36" t="s">
        <v>152</v>
      </c>
      <c r="D13" s="29">
        <f>'[5]ЧГРЭС Б3'!$E$22</f>
        <v>726.61124599999994</v>
      </c>
      <c r="E13" s="29">
        <f>'[32]0.1'!$I$15</f>
        <v>1576.014637349225</v>
      </c>
      <c r="F13" s="29">
        <f>'[32]0.1'!$L$15</f>
        <v>1571.8845199999998</v>
      </c>
    </row>
    <row r="14" spans="1:6">
      <c r="A14" s="36" t="s">
        <v>94</v>
      </c>
      <c r="B14" s="37" t="s">
        <v>95</v>
      </c>
      <c r="C14" s="36" t="s">
        <v>96</v>
      </c>
      <c r="D14" s="29">
        <f>'[5]ЧГРЭС Б3'!$E$23</f>
        <v>109.485</v>
      </c>
      <c r="E14" s="29">
        <f>'[32]0.1'!$I$16</f>
        <v>0</v>
      </c>
      <c r="F14" s="29">
        <f>'[32]0.1'!$L$16</f>
        <v>523.93000000000006</v>
      </c>
    </row>
    <row r="15" spans="1:6">
      <c r="A15" s="36" t="s">
        <v>97</v>
      </c>
      <c r="B15" s="37" t="s">
        <v>98</v>
      </c>
      <c r="C15" s="36" t="s">
        <v>96</v>
      </c>
      <c r="D15" s="29">
        <f>'[5]ЧГРЭС Б3'!$E$26</f>
        <v>109.265</v>
      </c>
      <c r="E15" s="29">
        <f>'[32]0.1'!$I$17</f>
        <v>0</v>
      </c>
      <c r="F15" s="29">
        <f>'[32]0.1'!$L$17</f>
        <v>519.51772366400007</v>
      </c>
    </row>
    <row r="16" spans="1:6">
      <c r="A16" s="36" t="s">
        <v>99</v>
      </c>
      <c r="B16" s="37" t="s">
        <v>11</v>
      </c>
      <c r="C16" s="36" t="s">
        <v>100</v>
      </c>
      <c r="D16" s="41"/>
      <c r="E16" s="29">
        <f>'[32]0.1'!$I$43</f>
        <v>1714247.4608132283</v>
      </c>
      <c r="F16" s="29">
        <f>'[32]0.1'!$L$43</f>
        <v>1681880.3028909259</v>
      </c>
    </row>
    <row r="17" spans="1:8">
      <c r="A17" s="36" t="s">
        <v>101</v>
      </c>
      <c r="B17" s="38" t="s">
        <v>14</v>
      </c>
      <c r="C17" s="36" t="s">
        <v>100</v>
      </c>
      <c r="D17" s="41"/>
      <c r="E17" s="29">
        <f>'[32]0.1'!$G$43</f>
        <v>1400254.5146204832</v>
      </c>
      <c r="F17" s="29">
        <f>'[32]0.1'!$J$43</f>
        <v>1357278.1076089407</v>
      </c>
    </row>
    <row r="18" spans="1:8">
      <c r="A18" s="36" t="s">
        <v>102</v>
      </c>
      <c r="B18" s="38" t="s">
        <v>15</v>
      </c>
      <c r="C18" s="36" t="s">
        <v>100</v>
      </c>
      <c r="D18" s="41"/>
      <c r="E18" s="29">
        <f>'[32]0.1'!$H$43</f>
        <v>313992.94619274518</v>
      </c>
      <c r="F18" s="29">
        <f>'[32]0.1'!$K$43</f>
        <v>324602.19528198516</v>
      </c>
    </row>
    <row r="19" spans="1:8" ht="25.5">
      <c r="A19" s="36" t="s">
        <v>103</v>
      </c>
      <c r="B19" s="38" t="s">
        <v>16</v>
      </c>
      <c r="C19" s="36" t="s">
        <v>100</v>
      </c>
      <c r="D19" s="41"/>
      <c r="E19" s="41"/>
      <c r="F19" s="41"/>
    </row>
    <row r="20" spans="1:8">
      <c r="A20" s="36" t="s">
        <v>104</v>
      </c>
      <c r="B20" s="37" t="s">
        <v>105</v>
      </c>
      <c r="C20" s="36" t="s">
        <v>100</v>
      </c>
      <c r="D20" s="29">
        <f>'[5]ЧГРЭС Б3'!$E$235</f>
        <v>671256.22155000002</v>
      </c>
      <c r="E20" s="29">
        <f>'[32]0.1'!$I$31</f>
        <v>1398489.2521454808</v>
      </c>
      <c r="F20" s="29">
        <f>'[32]0.1'!$L$31</f>
        <v>1680832.4252791402</v>
      </c>
      <c r="G20" s="47"/>
      <c r="H20" s="47"/>
    </row>
    <row r="21" spans="1:8">
      <c r="A21" s="36" t="s">
        <v>106</v>
      </c>
      <c r="B21" s="38" t="s">
        <v>107</v>
      </c>
      <c r="C21" s="36" t="s">
        <v>100</v>
      </c>
      <c r="D21" s="29">
        <f>'[5]ЧГРЭС Б3'!$E$255</f>
        <v>638577.55544000003</v>
      </c>
      <c r="E21" s="29">
        <f>'[32]0.1'!$I$32</f>
        <v>1398489.2521454808</v>
      </c>
      <c r="F21" s="29">
        <f>'[32]0.1'!$L$32</f>
        <v>1355436.7313474095</v>
      </c>
      <c r="G21" s="47"/>
      <c r="H21" s="47"/>
    </row>
    <row r="22" spans="1:8" ht="25.5">
      <c r="A22" s="36"/>
      <c r="B22" s="38" t="s">
        <v>108</v>
      </c>
      <c r="C22" s="36" t="s">
        <v>36</v>
      </c>
      <c r="D22" s="29">
        <f>'[5]ЧГРЭС Б3'!$E$31</f>
        <v>251.5639766223043</v>
      </c>
      <c r="E22" s="29">
        <f>'[32]4'!$L$24</f>
        <v>242.2</v>
      </c>
      <c r="F22" s="29">
        <f>'[32]4'!$M$24</f>
        <v>226.01</v>
      </c>
      <c r="G22" s="47"/>
      <c r="H22" s="47"/>
    </row>
    <row r="23" spans="1:8">
      <c r="A23" s="36" t="s">
        <v>109</v>
      </c>
      <c r="B23" s="38" t="s">
        <v>110</v>
      </c>
      <c r="C23" s="36" t="s">
        <v>100</v>
      </c>
      <c r="D23" s="29">
        <f>D20-D21</f>
        <v>32678.666109999991</v>
      </c>
      <c r="E23" s="29">
        <f>'[32]0.1'!$I$33</f>
        <v>0</v>
      </c>
      <c r="F23" s="29">
        <f>'[32]0.1'!$L$33</f>
        <v>325395.6939317307</v>
      </c>
    </row>
    <row r="24" spans="1:8">
      <c r="A24" s="36"/>
      <c r="B24" s="38" t="s">
        <v>111</v>
      </c>
      <c r="C24" s="36" t="s">
        <v>112</v>
      </c>
      <c r="D24" s="29">
        <f>'[5]ЧГРЭС Б3'!$E$36</f>
        <v>107.1927661323469</v>
      </c>
      <c r="E24" s="29">
        <f>'[32]4'!$L$28</f>
        <v>163.6</v>
      </c>
      <c r="F24" s="29">
        <f>'[32]4'!$M$28</f>
        <v>166.66</v>
      </c>
    </row>
    <row r="25" spans="1:8" ht="25.5">
      <c r="A25" s="36"/>
      <c r="B25" s="9" t="s">
        <v>113</v>
      </c>
      <c r="C25" s="36" t="s">
        <v>32</v>
      </c>
      <c r="D25" s="67" t="s">
        <v>195</v>
      </c>
      <c r="E25" s="67" t="s">
        <v>195</v>
      </c>
      <c r="F25" s="41"/>
    </row>
    <row r="26" spans="1:8">
      <c r="A26" s="36" t="s">
        <v>114</v>
      </c>
      <c r="B26" s="9" t="s">
        <v>17</v>
      </c>
      <c r="C26" s="36" t="s">
        <v>100</v>
      </c>
      <c r="D26" s="41"/>
      <c r="E26" s="41"/>
      <c r="F26" s="41"/>
    </row>
    <row r="27" spans="1:8" ht="25.5">
      <c r="A27" s="36" t="s">
        <v>115</v>
      </c>
      <c r="B27" s="9" t="s">
        <v>12</v>
      </c>
      <c r="C27" s="36" t="s">
        <v>32</v>
      </c>
      <c r="D27" s="41"/>
      <c r="E27" s="41"/>
      <c r="F27" s="41"/>
    </row>
    <row r="28" spans="1:8">
      <c r="A28" s="36" t="s">
        <v>116</v>
      </c>
      <c r="B28" s="38" t="s">
        <v>117</v>
      </c>
      <c r="C28" s="36" t="s">
        <v>118</v>
      </c>
      <c r="D28" s="41"/>
      <c r="E28" s="41"/>
      <c r="F28" s="41"/>
    </row>
    <row r="29" spans="1:8" ht="25.5">
      <c r="A29" s="39" t="s">
        <v>119</v>
      </c>
      <c r="B29" s="38" t="s">
        <v>120</v>
      </c>
      <c r="C29" s="54" t="s">
        <v>121</v>
      </c>
      <c r="D29" s="41"/>
      <c r="E29" s="41"/>
      <c r="F29" s="41"/>
    </row>
    <row r="30" spans="1:8" ht="25.5">
      <c r="A30" s="36" t="s">
        <v>122</v>
      </c>
      <c r="B30" s="38" t="s">
        <v>123</v>
      </c>
      <c r="C30" s="36" t="s">
        <v>32</v>
      </c>
      <c r="D30" s="41"/>
      <c r="E30" s="41"/>
      <c r="F30" s="41"/>
    </row>
    <row r="31" spans="1:8">
      <c r="A31" s="36" t="s">
        <v>124</v>
      </c>
      <c r="B31" s="9" t="s">
        <v>125</v>
      </c>
      <c r="C31" s="36" t="s">
        <v>100</v>
      </c>
      <c r="D31" s="29">
        <f>SUM(D32:D35)</f>
        <v>0</v>
      </c>
      <c r="E31" s="41"/>
      <c r="F31" s="41"/>
      <c r="G31" s="47"/>
    </row>
    <row r="32" spans="1:8">
      <c r="A32" s="36" t="s">
        <v>126</v>
      </c>
      <c r="B32" s="38" t="s">
        <v>18</v>
      </c>
      <c r="C32" s="36" t="s">
        <v>100</v>
      </c>
      <c r="D32" s="29">
        <f>'[6]ЧТЭЦ-4'!$N$4/1000</f>
        <v>0</v>
      </c>
      <c r="E32" s="41"/>
      <c r="F32" s="41"/>
    </row>
    <row r="33" spans="1:6">
      <c r="A33" s="36" t="s">
        <v>127</v>
      </c>
      <c r="B33" s="38" t="s">
        <v>19</v>
      </c>
      <c r="C33" s="36" t="s">
        <v>100</v>
      </c>
      <c r="D33" s="29">
        <f>'[6]ЧТЭЦ-4'!$V$4/1000</f>
        <v>0</v>
      </c>
      <c r="E33" s="41"/>
      <c r="F33" s="41"/>
    </row>
    <row r="34" spans="1:6" ht="25.5">
      <c r="A34" s="36" t="s">
        <v>128</v>
      </c>
      <c r="B34" s="38" t="s">
        <v>20</v>
      </c>
      <c r="C34" s="36" t="s">
        <v>100</v>
      </c>
      <c r="D34" s="29">
        <f>'[6]ЧТЭЦ-4'!$AH$4/1000</f>
        <v>0</v>
      </c>
      <c r="E34" s="41"/>
      <c r="F34" s="41"/>
    </row>
    <row r="35" spans="1:6">
      <c r="A35" s="36" t="s">
        <v>179</v>
      </c>
      <c r="B35" s="38" t="s">
        <v>180</v>
      </c>
      <c r="C35" s="36" t="s">
        <v>100</v>
      </c>
      <c r="D35" s="29">
        <v>0</v>
      </c>
      <c r="E35" s="41"/>
      <c r="F35" s="41"/>
    </row>
    <row r="36" spans="1:6">
      <c r="A36" s="36" t="s">
        <v>129</v>
      </c>
      <c r="B36" s="9" t="s">
        <v>130</v>
      </c>
      <c r="C36" s="36" t="s">
        <v>100</v>
      </c>
      <c r="D36" s="41"/>
      <c r="E36" s="41"/>
      <c r="F36" s="41"/>
    </row>
    <row r="37" spans="1:6">
      <c r="A37" s="36" t="s">
        <v>131</v>
      </c>
      <c r="B37" s="38" t="s">
        <v>21</v>
      </c>
      <c r="C37" s="36" t="s">
        <v>100</v>
      </c>
      <c r="D37" s="41"/>
      <c r="E37" s="41"/>
      <c r="F37" s="41"/>
    </row>
    <row r="38" spans="1:6">
      <c r="A38" s="36" t="s">
        <v>132</v>
      </c>
      <c r="B38" s="38" t="s">
        <v>40</v>
      </c>
      <c r="C38" s="36" t="s">
        <v>100</v>
      </c>
      <c r="D38" s="41"/>
      <c r="E38" s="41"/>
      <c r="F38" s="41"/>
    </row>
    <row r="39" spans="1:6">
      <c r="A39" s="36" t="s">
        <v>133</v>
      </c>
      <c r="B39" s="9" t="s">
        <v>134</v>
      </c>
      <c r="C39" s="36" t="s">
        <v>100</v>
      </c>
      <c r="D39" s="41"/>
      <c r="E39" s="41"/>
      <c r="F39" s="41"/>
    </row>
    <row r="40" spans="1:6">
      <c r="A40" s="36" t="s">
        <v>135</v>
      </c>
      <c r="B40" s="38" t="s">
        <v>18</v>
      </c>
      <c r="C40" s="36" t="s">
        <v>100</v>
      </c>
      <c r="D40" s="41"/>
      <c r="E40" s="41"/>
      <c r="F40" s="41"/>
    </row>
    <row r="41" spans="1:6">
      <c r="A41" s="36" t="s">
        <v>136</v>
      </c>
      <c r="B41" s="38" t="s">
        <v>19</v>
      </c>
      <c r="C41" s="36" t="s">
        <v>100</v>
      </c>
      <c r="D41" s="41"/>
      <c r="E41" s="41"/>
      <c r="F41" s="41"/>
    </row>
    <row r="42" spans="1:6" ht="25.5">
      <c r="A42" s="36" t="s">
        <v>137</v>
      </c>
      <c r="B42" s="38" t="s">
        <v>20</v>
      </c>
      <c r="C42" s="36" t="s">
        <v>100</v>
      </c>
      <c r="D42" s="41"/>
      <c r="E42" s="41"/>
      <c r="F42" s="41"/>
    </row>
    <row r="43" spans="1:6" ht="25.5">
      <c r="A43" s="36" t="s">
        <v>138</v>
      </c>
      <c r="B43" s="9" t="s">
        <v>139</v>
      </c>
      <c r="C43" s="36" t="s">
        <v>100</v>
      </c>
      <c r="D43" s="41"/>
      <c r="E43" s="41"/>
      <c r="F43" s="41"/>
    </row>
    <row r="44" spans="1:6">
      <c r="A44" s="36" t="s">
        <v>140</v>
      </c>
      <c r="B44" s="38" t="s">
        <v>18</v>
      </c>
      <c r="C44" s="36" t="s">
        <v>100</v>
      </c>
      <c r="D44" s="41"/>
      <c r="E44" s="41"/>
      <c r="F44" s="41"/>
    </row>
    <row r="45" spans="1:6">
      <c r="A45" s="36" t="s">
        <v>141</v>
      </c>
      <c r="B45" s="38" t="s">
        <v>19</v>
      </c>
      <c r="C45" s="36" t="s">
        <v>100</v>
      </c>
      <c r="D45" s="41"/>
      <c r="E45" s="41"/>
      <c r="F45" s="41"/>
    </row>
    <row r="46" spans="1:6" ht="25.5">
      <c r="A46" s="36" t="s">
        <v>142</v>
      </c>
      <c r="B46" s="38" t="s">
        <v>20</v>
      </c>
      <c r="C46" s="36" t="s">
        <v>100</v>
      </c>
      <c r="D46" s="41"/>
      <c r="E46" s="41"/>
      <c r="F46" s="41"/>
    </row>
    <row r="47" spans="1:6">
      <c r="A47" s="36" t="s">
        <v>143</v>
      </c>
      <c r="B47" s="9" t="s">
        <v>178</v>
      </c>
      <c r="C47" s="36" t="s">
        <v>100</v>
      </c>
      <c r="D47" s="52">
        <v>12200091</v>
      </c>
      <c r="E47" s="41"/>
      <c r="F47" s="41"/>
    </row>
    <row r="48" spans="1:6" ht="25.5">
      <c r="A48" s="36" t="s">
        <v>144</v>
      </c>
      <c r="B48" s="9" t="s">
        <v>177</v>
      </c>
      <c r="C48" s="36" t="s">
        <v>145</v>
      </c>
      <c r="D48" s="31">
        <f>19896480/65281414</f>
        <v>0.30478016300320948</v>
      </c>
      <c r="E48" s="41"/>
      <c r="F48" s="41"/>
    </row>
    <row r="49" spans="1:6" ht="229.5">
      <c r="A49" s="36" t="s">
        <v>146</v>
      </c>
      <c r="B49" s="9" t="s">
        <v>13</v>
      </c>
      <c r="C49" s="36" t="s">
        <v>32</v>
      </c>
      <c r="D49" s="9" t="s">
        <v>197</v>
      </c>
      <c r="E49" s="9" t="s">
        <v>200</v>
      </c>
      <c r="F49" s="9" t="s">
        <v>147</v>
      </c>
    </row>
    <row r="50" spans="1:6">
      <c r="B50" s="8"/>
    </row>
    <row r="51" spans="1:6">
      <c r="A51" s="98" t="s">
        <v>148</v>
      </c>
      <c r="B51" s="98"/>
      <c r="C51" s="98"/>
      <c r="D51" s="98"/>
      <c r="E51" s="98"/>
      <c r="F51" s="98"/>
    </row>
    <row r="52" spans="1:6">
      <c r="A52" s="98" t="s">
        <v>186</v>
      </c>
      <c r="B52" s="98"/>
      <c r="C52" s="98"/>
      <c r="D52" s="98"/>
      <c r="E52" s="98"/>
      <c r="F52" s="98"/>
    </row>
  </sheetData>
  <mergeCells count="7">
    <mergeCell ref="A51:F51"/>
    <mergeCell ref="A52:F52"/>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activeCell="A33" sqref="A33"/>
      <selection pane="topRight" activeCell="A33" sqref="A33"/>
      <selection pane="bottomLeft" activeCell="A33" sqref="A33"/>
      <selection pane="bottomRight" activeCell="F11" sqref="F11"/>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12.7109375" style="12" bestFit="1" customWidth="1"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2">
      <c r="F1" s="27"/>
      <c r="I1" s="26" t="s">
        <v>175</v>
      </c>
    </row>
    <row r="2" spans="1:12">
      <c r="F2" s="27"/>
      <c r="I2" s="26" t="s">
        <v>77</v>
      </c>
    </row>
    <row r="3" spans="1:12">
      <c r="F3" s="27"/>
    </row>
    <row r="4" spans="1:12">
      <c r="A4" s="79" t="s">
        <v>41</v>
      </c>
      <c r="B4" s="97"/>
      <c r="C4" s="97"/>
      <c r="D4" s="97"/>
      <c r="E4" s="97"/>
      <c r="F4" s="97"/>
      <c r="G4" s="97"/>
      <c r="H4" s="97"/>
      <c r="I4" s="97"/>
    </row>
    <row r="5" spans="1:12">
      <c r="A5" s="79" t="str">
        <f>Титульный!$C$18</f>
        <v>Челябинская ГРЭС (БЛ 3) НВ</v>
      </c>
      <c r="B5" s="97"/>
      <c r="C5" s="97"/>
      <c r="D5" s="97"/>
      <c r="E5" s="97"/>
      <c r="F5" s="97"/>
      <c r="G5" s="97"/>
      <c r="H5" s="97"/>
      <c r="I5" s="97"/>
    </row>
    <row r="7" spans="1:12" s="3" customFormat="1" ht="32.25" customHeight="1">
      <c r="A7" s="101" t="s">
        <v>87</v>
      </c>
      <c r="B7" s="101" t="s">
        <v>9</v>
      </c>
      <c r="C7" s="101" t="s">
        <v>153</v>
      </c>
      <c r="D7" s="101" t="s">
        <v>173</v>
      </c>
      <c r="E7" s="101"/>
      <c r="F7" s="101" t="s">
        <v>150</v>
      </c>
      <c r="G7" s="101"/>
      <c r="H7" s="101" t="s">
        <v>151</v>
      </c>
      <c r="I7" s="101"/>
      <c r="K7" s="56"/>
    </row>
    <row r="8" spans="1:12" s="3" customFormat="1">
      <c r="A8" s="101"/>
      <c r="B8" s="101"/>
      <c r="C8" s="101"/>
      <c r="D8" s="42">
        <f>Титульный!$B$5-2</f>
        <v>2017</v>
      </c>
      <c r="E8" s="43" t="s">
        <v>68</v>
      </c>
      <c r="F8" s="42">
        <f>Титульный!$B$5-1</f>
        <v>2018</v>
      </c>
      <c r="G8" s="43" t="s">
        <v>68</v>
      </c>
      <c r="H8" s="42">
        <f>Титульный!$B$5</f>
        <v>2019</v>
      </c>
      <c r="I8" s="43" t="s">
        <v>68</v>
      </c>
      <c r="K8" s="56"/>
    </row>
    <row r="9" spans="1:12" s="3" customFormat="1">
      <c r="A9" s="101"/>
      <c r="B9" s="101"/>
      <c r="C9" s="101"/>
      <c r="D9" s="55" t="s">
        <v>22</v>
      </c>
      <c r="E9" s="55" t="s">
        <v>23</v>
      </c>
      <c r="F9" s="55" t="s">
        <v>22</v>
      </c>
      <c r="G9" s="55" t="s">
        <v>23</v>
      </c>
      <c r="H9" s="55" t="s">
        <v>22</v>
      </c>
      <c r="I9" s="55" t="s">
        <v>23</v>
      </c>
    </row>
    <row r="10" spans="1:12" ht="12.75" customHeight="1">
      <c r="A10" s="102" t="s">
        <v>170</v>
      </c>
      <c r="B10" s="103"/>
      <c r="C10" s="103"/>
      <c r="D10" s="103"/>
      <c r="E10" s="103"/>
      <c r="F10" s="103"/>
      <c r="G10" s="103"/>
      <c r="H10" s="103"/>
      <c r="I10" s="104"/>
    </row>
    <row r="11" spans="1:12" ht="12.75" customHeight="1">
      <c r="A11" s="54" t="s">
        <v>154</v>
      </c>
      <c r="B11" s="37" t="s">
        <v>155</v>
      </c>
      <c r="C11" s="36" t="s">
        <v>168</v>
      </c>
      <c r="D11" s="44"/>
      <c r="E11" s="44"/>
      <c r="F11" s="29">
        <f>'[33]0.1'!$G$20</f>
        <v>859.25691805026997</v>
      </c>
      <c r="G11" s="29">
        <f>'[32]0.1'!$G$20</f>
        <v>888.47811526397913</v>
      </c>
      <c r="H11" s="105">
        <f>'[32]0.1'!$L$20</f>
        <v>863.47189652897714</v>
      </c>
      <c r="I11" s="106"/>
      <c r="K11" s="65" t="b">
        <f>ROUND([9]Лист1!$D$132,1)=ROUND(H11,1)</f>
        <v>1</v>
      </c>
    </row>
    <row r="12" spans="1:12" ht="12.75" customHeight="1">
      <c r="A12" s="54"/>
      <c r="B12" s="45" t="s">
        <v>171</v>
      </c>
      <c r="C12" s="36" t="s">
        <v>168</v>
      </c>
      <c r="D12" s="44"/>
      <c r="E12" s="44"/>
      <c r="F12" s="29">
        <f>F11-[33]Индексы!$I$26</f>
        <v>858.17991805026998</v>
      </c>
      <c r="G12" s="29">
        <f>'[32]2.1'!$G$170</f>
        <v>887.3580352639791</v>
      </c>
      <c r="H12" s="105">
        <f>'[32]2'!$G$170</f>
        <v>862.30045152897731</v>
      </c>
      <c r="I12" s="106"/>
      <c r="L12" s="71"/>
    </row>
    <row r="13" spans="1:12" ht="12.75" customHeight="1">
      <c r="A13" s="54" t="s">
        <v>156</v>
      </c>
      <c r="B13" s="37" t="s">
        <v>157</v>
      </c>
      <c r="C13" s="36" t="s">
        <v>158</v>
      </c>
      <c r="D13" s="44"/>
      <c r="E13" s="44"/>
      <c r="F13" s="29">
        <f>G13</f>
        <v>110992.55</v>
      </c>
      <c r="G13" s="29">
        <f>'[32]0.1'!$H$21</f>
        <v>110992.55</v>
      </c>
      <c r="H13" s="105">
        <f>'[32]0.1'!$K$21</f>
        <v>115987.0476336</v>
      </c>
      <c r="I13" s="106"/>
    </row>
    <row r="14" spans="1:12" ht="27.75" customHeight="1">
      <c r="A14" s="54" t="s">
        <v>159</v>
      </c>
      <c r="B14" s="37" t="s">
        <v>174</v>
      </c>
      <c r="C14" s="36" t="s">
        <v>47</v>
      </c>
      <c r="D14" s="105">
        <f>'ЧГРЭС Б1_П5'!D14:E14</f>
        <v>641.93004009946117</v>
      </c>
      <c r="E14" s="106"/>
      <c r="F14" s="105">
        <f>'ЧГРЭС Б1_П5'!F14:G14</f>
        <v>641.81403648616254</v>
      </c>
      <c r="G14" s="106"/>
      <c r="H14" s="105">
        <f>'ЧГРЭС Б1_П5'!H14:I14</f>
        <v>971.98007895896069</v>
      </c>
      <c r="I14" s="106"/>
      <c r="L14" s="71"/>
    </row>
    <row r="15" spans="1:12" ht="26.25" customHeight="1">
      <c r="A15" s="54" t="s">
        <v>160</v>
      </c>
      <c r="B15" s="46" t="s">
        <v>48</v>
      </c>
      <c r="C15" s="36" t="s">
        <v>47</v>
      </c>
      <c r="D15" s="29">
        <f>'ЧГРЭС Б1_П5'!D15</f>
        <v>641.62</v>
      </c>
      <c r="E15" s="29">
        <f>'ЧГРЭС Б1_П5'!E15</f>
        <v>641.62</v>
      </c>
      <c r="F15" s="29">
        <f>'ЧГРЭС Б1_П5'!F15</f>
        <v>641.62</v>
      </c>
      <c r="G15" s="29">
        <f>'ЧГРЭС Б1_П5'!G15</f>
        <v>641.62</v>
      </c>
      <c r="H15" s="105">
        <f>'ЧГРЭС Б1_П5'!H15:I15</f>
        <v>971.50953804854021</v>
      </c>
      <c r="I15" s="106"/>
    </row>
    <row r="16" spans="1:12" ht="12.75" customHeight="1">
      <c r="A16" s="54" t="s">
        <v>161</v>
      </c>
      <c r="B16" s="46" t="s">
        <v>49</v>
      </c>
      <c r="C16" s="36" t="s">
        <v>47</v>
      </c>
      <c r="D16" s="44"/>
      <c r="E16" s="44"/>
      <c r="F16" s="44"/>
      <c r="G16" s="44"/>
      <c r="H16" s="44"/>
      <c r="I16" s="44"/>
    </row>
    <row r="17" spans="1:9" ht="12.75" customHeight="1">
      <c r="A17" s="54"/>
      <c r="B17" s="38" t="s">
        <v>50</v>
      </c>
      <c r="C17" s="36" t="s">
        <v>47</v>
      </c>
      <c r="D17" s="44"/>
      <c r="E17" s="44"/>
      <c r="F17" s="44"/>
      <c r="G17" s="44"/>
      <c r="H17" s="44"/>
      <c r="I17" s="44"/>
    </row>
    <row r="18" spans="1:9" ht="12.75" customHeight="1">
      <c r="A18" s="54"/>
      <c r="B18" s="38" t="s">
        <v>51</v>
      </c>
      <c r="C18" s="36" t="s">
        <v>47</v>
      </c>
      <c r="D18" s="44"/>
      <c r="E18" s="44"/>
      <c r="F18" s="44"/>
      <c r="G18" s="44"/>
      <c r="H18" s="44"/>
      <c r="I18" s="44"/>
    </row>
    <row r="19" spans="1:9" ht="12.75" customHeight="1">
      <c r="A19" s="54"/>
      <c r="B19" s="38" t="s">
        <v>52</v>
      </c>
      <c r="C19" s="36" t="s">
        <v>47</v>
      </c>
      <c r="D19" s="44"/>
      <c r="E19" s="44"/>
      <c r="F19" s="44"/>
      <c r="G19" s="44"/>
      <c r="H19" s="44"/>
      <c r="I19" s="44"/>
    </row>
    <row r="20" spans="1:9" ht="12.75" customHeight="1">
      <c r="A20" s="54"/>
      <c r="B20" s="38" t="s">
        <v>53</v>
      </c>
      <c r="C20" s="36" t="s">
        <v>47</v>
      </c>
      <c r="D20" s="44"/>
      <c r="E20" s="44"/>
      <c r="F20" s="44"/>
      <c r="G20" s="44"/>
      <c r="H20" s="44"/>
      <c r="I20" s="44"/>
    </row>
    <row r="21" spans="1:9" ht="12.75" customHeight="1">
      <c r="A21" s="54" t="s">
        <v>162</v>
      </c>
      <c r="B21" s="46" t="s">
        <v>54</v>
      </c>
      <c r="C21" s="36" t="s">
        <v>47</v>
      </c>
      <c r="D21" s="44"/>
      <c r="E21" s="44"/>
      <c r="F21" s="44"/>
      <c r="G21" s="44"/>
      <c r="H21" s="44"/>
      <c r="I21" s="44"/>
    </row>
    <row r="22" spans="1:9" ht="12.75" customHeight="1">
      <c r="A22" s="54" t="s">
        <v>163</v>
      </c>
      <c r="B22" s="37" t="s">
        <v>55</v>
      </c>
      <c r="C22" s="36" t="s">
        <v>32</v>
      </c>
      <c r="D22" s="44"/>
      <c r="E22" s="44"/>
      <c r="F22" s="44"/>
      <c r="G22" s="44"/>
      <c r="H22" s="44"/>
      <c r="I22" s="44"/>
    </row>
    <row r="23" spans="1:9" ht="25.5" customHeight="1">
      <c r="A23" s="54" t="s">
        <v>164</v>
      </c>
      <c r="B23" s="38" t="s">
        <v>56</v>
      </c>
      <c r="C23" s="54" t="s">
        <v>57</v>
      </c>
      <c r="D23" s="44"/>
      <c r="E23" s="44"/>
      <c r="F23" s="44"/>
      <c r="G23" s="44"/>
      <c r="H23" s="44"/>
      <c r="I23" s="44"/>
    </row>
    <row r="24" spans="1:9" ht="12.75" customHeight="1">
      <c r="A24" s="54" t="s">
        <v>165</v>
      </c>
      <c r="B24" s="46" t="s">
        <v>58</v>
      </c>
      <c r="C24" s="36" t="s">
        <v>47</v>
      </c>
      <c r="D24" s="44"/>
      <c r="E24" s="44"/>
      <c r="F24" s="44"/>
      <c r="G24" s="44"/>
      <c r="H24" s="44"/>
      <c r="I24" s="44"/>
    </row>
    <row r="25" spans="1:9" ht="12.75" customHeight="1">
      <c r="A25" s="54" t="s">
        <v>166</v>
      </c>
      <c r="B25" s="37" t="s">
        <v>59</v>
      </c>
      <c r="C25" s="36" t="s">
        <v>169</v>
      </c>
      <c r="D25" s="44"/>
      <c r="E25" s="44"/>
      <c r="F25" s="44"/>
      <c r="G25" s="44"/>
      <c r="H25" s="44"/>
      <c r="I25" s="44"/>
    </row>
    <row r="26" spans="1:9" ht="15" customHeight="1">
      <c r="A26" s="54"/>
      <c r="B26" s="38" t="s">
        <v>60</v>
      </c>
      <c r="C26" s="36" t="s">
        <v>169</v>
      </c>
      <c r="D26" s="29">
        <f>'ЧГРЭС Б1_П5'!D26</f>
        <v>28.16</v>
      </c>
      <c r="E26" s="29">
        <f>'ЧГРЭС Б1_П5'!E26</f>
        <v>40.31</v>
      </c>
      <c r="F26" s="29">
        <f>'ЧГРЭС Б1_П5'!F26</f>
        <v>35.270000000000003</v>
      </c>
      <c r="G26" s="29">
        <f>'ЧГРЭС Б1_П5'!G26</f>
        <v>35.270000000000003</v>
      </c>
      <c r="H26" s="105">
        <f>'ЧГРЭС Б1_П5'!H26</f>
        <v>88.970828118426738</v>
      </c>
      <c r="I26" s="108"/>
    </row>
    <row r="27" spans="1:9">
      <c r="A27" s="54"/>
      <c r="B27" s="38" t="s">
        <v>61</v>
      </c>
      <c r="C27" s="36" t="s">
        <v>169</v>
      </c>
      <c r="D27" s="44"/>
      <c r="E27" s="44"/>
      <c r="F27" s="44"/>
      <c r="G27" s="44"/>
      <c r="H27" s="44"/>
      <c r="I27" s="44"/>
    </row>
    <row r="28" spans="1:9">
      <c r="A28" s="8"/>
      <c r="B28" s="33"/>
      <c r="C28" s="32"/>
      <c r="D28" s="33"/>
      <c r="E28" s="33"/>
      <c r="F28" s="33"/>
      <c r="G28" s="33"/>
      <c r="H28" s="33"/>
      <c r="I28" s="33"/>
    </row>
    <row r="29" spans="1:9">
      <c r="A29" s="98" t="s">
        <v>167</v>
      </c>
      <c r="B29" s="98"/>
      <c r="C29" s="98"/>
      <c r="D29" s="98"/>
      <c r="E29" s="98"/>
      <c r="F29" s="98"/>
      <c r="G29" s="98"/>
      <c r="H29" s="98"/>
      <c r="I29" s="98"/>
    </row>
    <row r="30" spans="1:9">
      <c r="A30" s="98" t="s">
        <v>172</v>
      </c>
      <c r="B30" s="98"/>
      <c r="C30" s="98"/>
      <c r="D30" s="98"/>
      <c r="E30" s="98"/>
      <c r="F30" s="98"/>
      <c r="G30" s="98"/>
      <c r="H30" s="98"/>
      <c r="I30" s="98"/>
    </row>
    <row r="31" spans="1:9">
      <c r="A31" s="98" t="s">
        <v>181</v>
      </c>
      <c r="B31" s="98"/>
      <c r="C31" s="98"/>
      <c r="D31" s="98"/>
      <c r="E31" s="98"/>
      <c r="F31" s="98"/>
      <c r="G31" s="98"/>
      <c r="H31" s="98"/>
      <c r="I31" s="98"/>
    </row>
    <row r="32" spans="1:9">
      <c r="A32" s="107" t="s">
        <v>182</v>
      </c>
      <c r="B32" s="107"/>
      <c r="C32" s="107"/>
      <c r="D32" s="107"/>
      <c r="E32" s="107"/>
      <c r="F32" s="107"/>
      <c r="G32" s="107"/>
      <c r="H32" s="107"/>
      <c r="I32" s="107"/>
    </row>
  </sheetData>
  <mergeCells count="21">
    <mergeCell ref="A4:I4"/>
    <mergeCell ref="A5:I5"/>
    <mergeCell ref="A7:A9"/>
    <mergeCell ref="B7:B9"/>
    <mergeCell ref="C7:C9"/>
    <mergeCell ref="D7:E7"/>
    <mergeCell ref="F7:G7"/>
    <mergeCell ref="H7:I7"/>
    <mergeCell ref="A32:I32"/>
    <mergeCell ref="H13:I13"/>
    <mergeCell ref="A10:I10"/>
    <mergeCell ref="H11:I11"/>
    <mergeCell ref="H12:I12"/>
    <mergeCell ref="A29:I29"/>
    <mergeCell ref="A30:I30"/>
    <mergeCell ref="A31:I31"/>
    <mergeCell ref="D14:E14"/>
    <mergeCell ref="F14:G14"/>
    <mergeCell ref="H14:I14"/>
    <mergeCell ref="H15:I15"/>
    <mergeCell ref="H26:I26"/>
  </mergeCells>
  <conditionalFormatting sqref="K11">
    <cfRule type="containsText" dxfId="17" priority="1" operator="containsText" text="ложь">
      <formula>NOT(ISERROR(SEARCH("ложь",K11)))</formula>
    </cfRule>
    <cfRule type="containsText" dxfId="16" priority="2" operator="containsText" text="истина">
      <formula>NOT(ISERROR(SEARCH("истина",K11)))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46" activePane="bottomRight" state="frozen"/>
      <selection activeCell="F49" sqref="F49"/>
      <selection pane="topRight" activeCell="F49" sqref="F49"/>
      <selection pane="bottomLeft" activeCell="F49" sqref="F49"/>
      <selection pane="bottomRight" activeCell="H49" sqref="H49"/>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176</v>
      </c>
    </row>
    <row r="2" spans="1:6">
      <c r="F2" s="34" t="s">
        <v>77</v>
      </c>
    </row>
    <row r="3" spans="1:6">
      <c r="B3" s="63"/>
    </row>
    <row r="4" spans="1:6">
      <c r="A4" s="99" t="s">
        <v>39</v>
      </c>
      <c r="B4" s="99"/>
      <c r="C4" s="99"/>
      <c r="D4" s="99"/>
      <c r="E4" s="99"/>
      <c r="F4" s="99"/>
    </row>
    <row r="5" spans="1:6">
      <c r="A5" s="99" t="str">
        <f>Титульный!$C$19</f>
        <v>Тюменская ТЭЦ-1 без ДПМ/НВ</v>
      </c>
      <c r="B5" s="99"/>
      <c r="C5" s="99"/>
      <c r="D5" s="99"/>
      <c r="E5" s="99"/>
      <c r="F5" s="99"/>
    </row>
    <row r="6" spans="1:6">
      <c r="A6" s="35"/>
      <c r="B6" s="35"/>
      <c r="C6" s="35"/>
      <c r="D6" s="35"/>
      <c r="E6" s="35"/>
      <c r="F6" s="35"/>
    </row>
    <row r="7" spans="1:6" s="8" customFormat="1" ht="38.25">
      <c r="A7" s="100" t="s">
        <v>1</v>
      </c>
      <c r="B7" s="100" t="s">
        <v>9</v>
      </c>
      <c r="C7" s="100" t="s">
        <v>10</v>
      </c>
      <c r="D7" s="30" t="s">
        <v>149</v>
      </c>
      <c r="E7" s="30" t="s">
        <v>150</v>
      </c>
      <c r="F7" s="30" t="s">
        <v>151</v>
      </c>
    </row>
    <row r="8" spans="1:6" s="8" customFormat="1">
      <c r="A8" s="100"/>
      <c r="B8" s="100"/>
      <c r="C8" s="100"/>
      <c r="D8" s="30">
        <f>Титульный!$B$5-2</f>
        <v>2017</v>
      </c>
      <c r="E8" s="30">
        <f>Титульный!$B$5-1</f>
        <v>2018</v>
      </c>
      <c r="F8" s="30">
        <f>Титульный!$B$5</f>
        <v>2019</v>
      </c>
    </row>
    <row r="9" spans="1:6" s="8" customFormat="1">
      <c r="A9" s="100"/>
      <c r="B9" s="100"/>
      <c r="C9" s="100"/>
      <c r="D9" s="30" t="s">
        <v>68</v>
      </c>
      <c r="E9" s="30" t="s">
        <v>68</v>
      </c>
      <c r="F9" s="30" t="s">
        <v>68</v>
      </c>
    </row>
    <row r="10" spans="1:6">
      <c r="A10" s="36" t="s">
        <v>88</v>
      </c>
      <c r="B10" s="37" t="s">
        <v>33</v>
      </c>
      <c r="C10" s="36" t="s">
        <v>35</v>
      </c>
      <c r="D10" s="29">
        <f>[34]Год!$H$11</f>
        <v>450</v>
      </c>
      <c r="E10" s="29">
        <f>'[35]0.1'!$I$11</f>
        <v>450</v>
      </c>
      <c r="F10" s="29">
        <f>'[35]0.1'!$L$11</f>
        <v>472</v>
      </c>
    </row>
    <row r="11" spans="1:6" ht="38.25">
      <c r="A11" s="36" t="s">
        <v>89</v>
      </c>
      <c r="B11" s="37" t="s">
        <v>34</v>
      </c>
      <c r="C11" s="36" t="s">
        <v>35</v>
      </c>
      <c r="D11" s="29">
        <f>[34]Год!$H$12-[34]Год!$H$14</f>
        <v>427.49258770032549</v>
      </c>
      <c r="E11" s="29">
        <f>'[35]0.1'!$I$12</f>
        <v>425.32070852333334</v>
      </c>
      <c r="F11" s="29">
        <f>'[35]0.1'!$L$12</f>
        <v>447.47269534583546</v>
      </c>
    </row>
    <row r="12" spans="1:6">
      <c r="A12" s="36" t="s">
        <v>90</v>
      </c>
      <c r="B12" s="37" t="s">
        <v>91</v>
      </c>
      <c r="C12" s="36" t="s">
        <v>152</v>
      </c>
      <c r="D12" s="29">
        <f>'[5]ТТЭЦ-1 ДМ'!$E$7</f>
        <v>2164.1330000000003</v>
      </c>
      <c r="E12" s="29">
        <f>'[35]0.1'!$I$13</f>
        <v>2465.5477000000001</v>
      </c>
      <c r="F12" s="29">
        <f>'[35]0.1'!$L$13</f>
        <v>2465.5529999999999</v>
      </c>
    </row>
    <row r="13" spans="1:6">
      <c r="A13" s="36" t="s">
        <v>92</v>
      </c>
      <c r="B13" s="37" t="s">
        <v>93</v>
      </c>
      <c r="C13" s="36" t="s">
        <v>152</v>
      </c>
      <c r="D13" s="29">
        <f>'[5]ТТЭЦ-1 ДМ'!$E$22</f>
        <v>1966.7413190000004</v>
      </c>
      <c r="E13" s="29">
        <f>'[35]0.1'!$I$15</f>
        <v>2260.0266999999999</v>
      </c>
      <c r="F13" s="29">
        <f>'[35]0.1'!$L$15</f>
        <v>2251.1030000000001</v>
      </c>
    </row>
    <row r="14" spans="1:6">
      <c r="A14" s="36" t="s">
        <v>94</v>
      </c>
      <c r="B14" s="37" t="s">
        <v>95</v>
      </c>
      <c r="C14" s="36" t="s">
        <v>96</v>
      </c>
      <c r="D14" s="29">
        <f>'[5]ТТЭЦ-1 ДМ'!$E$23</f>
        <v>2223.6010000000001</v>
      </c>
      <c r="E14" s="29">
        <f>'[35]0.1'!$I$16</f>
        <v>2170.5352000000012</v>
      </c>
      <c r="F14" s="29">
        <f>'[35]0.1'!$L$16</f>
        <v>2180.5604760000001</v>
      </c>
    </row>
    <row r="15" spans="1:6">
      <c r="A15" s="36" t="s">
        <v>97</v>
      </c>
      <c r="B15" s="37" t="s">
        <v>98</v>
      </c>
      <c r="C15" s="36" t="s">
        <v>96</v>
      </c>
      <c r="D15" s="29">
        <f>'[5]ТТЭЦ-1 ДМ'!$E$26</f>
        <v>2216.7926340000004</v>
      </c>
      <c r="E15" s="29">
        <f>'[35]0.1'!$I$17</f>
        <v>2160.9260000000004</v>
      </c>
      <c r="F15" s="29">
        <f>'[35]0.1'!$L$17</f>
        <v>2173.6874760000001</v>
      </c>
    </row>
    <row r="16" spans="1:6">
      <c r="A16" s="36" t="s">
        <v>99</v>
      </c>
      <c r="B16" s="37" t="s">
        <v>11</v>
      </c>
      <c r="C16" s="36" t="s">
        <v>100</v>
      </c>
      <c r="D16" s="41"/>
      <c r="E16" s="29">
        <f>'[35]0.1'!$I$43</f>
        <v>2369203.1991488142</v>
      </c>
      <c r="F16" s="29">
        <f>'[35]0.1'!$L$43</f>
        <v>2583219.3459633309</v>
      </c>
    </row>
    <row r="17" spans="1:8">
      <c r="A17" s="36" t="s">
        <v>101</v>
      </c>
      <c r="B17" s="38" t="s">
        <v>14</v>
      </c>
      <c r="C17" s="36" t="s">
        <v>100</v>
      </c>
      <c r="D17" s="41"/>
      <c r="E17" s="29">
        <f>'[35]0.1'!$G$43</f>
        <v>1443792.6351430991</v>
      </c>
      <c r="F17" s="29">
        <f>'[35]0.1'!$J$43</f>
        <v>1553105.5829267991</v>
      </c>
    </row>
    <row r="18" spans="1:8">
      <c r="A18" s="36" t="s">
        <v>102</v>
      </c>
      <c r="B18" s="38" t="s">
        <v>15</v>
      </c>
      <c r="C18" s="36" t="s">
        <v>100</v>
      </c>
      <c r="D18" s="41"/>
      <c r="E18" s="29">
        <f>'[35]0.1'!$H$43</f>
        <v>925410.56400571531</v>
      </c>
      <c r="F18" s="29">
        <f>'[35]0.1'!$K$43</f>
        <v>1030113.7630365317</v>
      </c>
    </row>
    <row r="19" spans="1:8" ht="25.5">
      <c r="A19" s="36" t="s">
        <v>103</v>
      </c>
      <c r="B19" s="38" t="s">
        <v>16</v>
      </c>
      <c r="C19" s="36" t="s">
        <v>100</v>
      </c>
      <c r="D19" s="41"/>
      <c r="E19" s="41"/>
      <c r="F19" s="41"/>
    </row>
    <row r="20" spans="1:8">
      <c r="A20" s="36" t="s">
        <v>104</v>
      </c>
      <c r="B20" s="37" t="s">
        <v>105</v>
      </c>
      <c r="C20" s="36" t="s">
        <v>100</v>
      </c>
      <c r="D20" s="29">
        <f>'[5]ТТЭЦ-1 ДМ'!$E$235</f>
        <v>2344594.9593499997</v>
      </c>
      <c r="E20" s="29">
        <f>'[35]0.1'!$I$31</f>
        <v>2354837.6844549906</v>
      </c>
      <c r="F20" s="29">
        <f>'[35]0.1'!$L$31</f>
        <v>2524802.4417041992</v>
      </c>
      <c r="G20" s="47"/>
      <c r="H20" s="47"/>
    </row>
    <row r="21" spans="1:8">
      <c r="A21" s="36" t="s">
        <v>106</v>
      </c>
      <c r="B21" s="38" t="s">
        <v>107</v>
      </c>
      <c r="C21" s="36" t="s">
        <v>100</v>
      </c>
      <c r="D21" s="29">
        <f>'[5]ТТЭЦ-1 ДМ'!$E$255</f>
        <v>1405892.8130600001</v>
      </c>
      <c r="E21" s="29">
        <f>'[35]0.1'!$I$32</f>
        <v>1427407.1432113429</v>
      </c>
      <c r="F21" s="29">
        <f>'[35]0.1'!$L$32</f>
        <v>1536048.1890608866</v>
      </c>
      <c r="G21" s="47"/>
      <c r="H21" s="47"/>
    </row>
    <row r="22" spans="1:8" ht="25.5">
      <c r="A22" s="36"/>
      <c r="B22" s="38" t="s">
        <v>108</v>
      </c>
      <c r="C22" s="36" t="s">
        <v>36</v>
      </c>
      <c r="D22" s="29">
        <f>'[5]ТТЭЦ-1 ДМ'!$E$31</f>
        <v>252.02741827420095</v>
      </c>
      <c r="E22" s="29">
        <f>'[35]4'!$L$24</f>
        <v>243.6</v>
      </c>
      <c r="F22" s="29">
        <f>'[35]4'!$M$24</f>
        <v>255.00653425494542</v>
      </c>
      <c r="G22" s="47"/>
      <c r="H22" s="47"/>
    </row>
    <row r="23" spans="1:8">
      <c r="A23" s="36" t="s">
        <v>109</v>
      </c>
      <c r="B23" s="38" t="s">
        <v>110</v>
      </c>
      <c r="C23" s="36" t="s">
        <v>100</v>
      </c>
      <c r="D23" s="29">
        <f>D20-D21</f>
        <v>938702.1462899996</v>
      </c>
      <c r="E23" s="29">
        <f>'[35]0.1'!$I$33</f>
        <v>927430.54124364769</v>
      </c>
      <c r="F23" s="29">
        <f>'[35]0.1'!$L$33</f>
        <v>988754.25264331256</v>
      </c>
    </row>
    <row r="24" spans="1:8">
      <c r="A24" s="36"/>
      <c r="B24" s="38" t="s">
        <v>111</v>
      </c>
      <c r="C24" s="36" t="s">
        <v>112</v>
      </c>
      <c r="D24" s="29">
        <f>'[5]ТТЭЦ-1 ДМ'!$E$36</f>
        <v>149.6972703286246</v>
      </c>
      <c r="E24" s="29">
        <f>'[35]4'!$L$28</f>
        <v>165.4</v>
      </c>
      <c r="F24" s="29">
        <f>'[35]4'!$M$28</f>
        <v>170.26580059854334</v>
      </c>
    </row>
    <row r="25" spans="1:8" ht="25.5">
      <c r="A25" s="36"/>
      <c r="B25" s="9" t="s">
        <v>113</v>
      </c>
      <c r="C25" s="36" t="s">
        <v>32</v>
      </c>
      <c r="D25" s="30" t="s">
        <v>195</v>
      </c>
      <c r="E25" s="67" t="s">
        <v>195</v>
      </c>
      <c r="F25" s="41"/>
    </row>
    <row r="26" spans="1:8">
      <c r="A26" s="36" t="s">
        <v>114</v>
      </c>
      <c r="B26" s="9" t="s">
        <v>17</v>
      </c>
      <c r="C26" s="36" t="s">
        <v>100</v>
      </c>
      <c r="D26" s="41"/>
      <c r="E26" s="41"/>
      <c r="F26" s="41"/>
    </row>
    <row r="27" spans="1:8" ht="25.5">
      <c r="A27" s="36" t="s">
        <v>115</v>
      </c>
      <c r="B27" s="9" t="s">
        <v>12</v>
      </c>
      <c r="C27" s="36" t="s">
        <v>32</v>
      </c>
      <c r="D27" s="41"/>
      <c r="E27" s="41"/>
      <c r="F27" s="41"/>
    </row>
    <row r="28" spans="1:8">
      <c r="A28" s="36" t="s">
        <v>116</v>
      </c>
      <c r="B28" s="38" t="s">
        <v>117</v>
      </c>
      <c r="C28" s="36" t="s">
        <v>118</v>
      </c>
      <c r="D28" s="41"/>
      <c r="E28" s="41"/>
      <c r="F28" s="41"/>
    </row>
    <row r="29" spans="1:8" ht="25.5">
      <c r="A29" s="39" t="s">
        <v>119</v>
      </c>
      <c r="B29" s="38" t="s">
        <v>120</v>
      </c>
      <c r="C29" s="30" t="s">
        <v>121</v>
      </c>
      <c r="D29" s="41"/>
      <c r="E29" s="41"/>
      <c r="F29" s="41"/>
    </row>
    <row r="30" spans="1:8" ht="25.5">
      <c r="A30" s="36" t="s">
        <v>122</v>
      </c>
      <c r="B30" s="38" t="s">
        <v>123</v>
      </c>
      <c r="C30" s="36" t="s">
        <v>32</v>
      </c>
      <c r="D30" s="41"/>
      <c r="E30" s="41"/>
      <c r="F30" s="41"/>
    </row>
    <row r="31" spans="1:8">
      <c r="A31" s="36" t="s">
        <v>124</v>
      </c>
      <c r="B31" s="9" t="s">
        <v>125</v>
      </c>
      <c r="C31" s="36" t="s">
        <v>100</v>
      </c>
      <c r="D31" s="29">
        <f>('[6]ТТЭЦ-1'!$E$12-'[6]ТТЭЦ-1'!$N$12-'[6]ТТЭЦ-1'!$V$12-'[6]ТТЭЦ-1'!$AH$12)/1000</f>
        <v>4111696.9169700001</v>
      </c>
      <c r="E31" s="41"/>
      <c r="F31" s="41"/>
    </row>
    <row r="32" spans="1:8">
      <c r="A32" s="36" t="s">
        <v>126</v>
      </c>
      <c r="B32" s="38" t="s">
        <v>18</v>
      </c>
      <c r="C32" s="36" t="s">
        <v>100</v>
      </c>
      <c r="D32" s="29">
        <f>'[6]ТТЭЦ-1'!$J$12/1000</f>
        <v>1720531.0090099997</v>
      </c>
      <c r="E32" s="41"/>
      <c r="F32" s="41"/>
    </row>
    <row r="33" spans="1:6">
      <c r="A33" s="36" t="s">
        <v>127</v>
      </c>
      <c r="B33" s="38" t="s">
        <v>19</v>
      </c>
      <c r="C33" s="36" t="s">
        <v>100</v>
      </c>
      <c r="D33" s="29">
        <f>'[6]ТТЭЦ-1'!$R$12/1000</f>
        <v>896784.31614000001</v>
      </c>
      <c r="E33" s="41"/>
      <c r="F33" s="41"/>
    </row>
    <row r="34" spans="1:6" ht="25.5">
      <c r="A34" s="36" t="s">
        <v>128</v>
      </c>
      <c r="B34" s="38" t="s">
        <v>20</v>
      </c>
      <c r="C34" s="36" t="s">
        <v>100</v>
      </c>
      <c r="D34" s="29">
        <f>('[6]ТТЭЦ-1'!$Z$12-'[6]ТТЭЦ-1'!$AH$12)/1000</f>
        <v>1398098.7167599997</v>
      </c>
      <c r="E34" s="41"/>
      <c r="F34" s="41"/>
    </row>
    <row r="35" spans="1:6">
      <c r="A35" s="36" t="s">
        <v>179</v>
      </c>
      <c r="B35" s="38" t="s">
        <v>180</v>
      </c>
      <c r="C35" s="36" t="s">
        <v>100</v>
      </c>
      <c r="D35" s="29">
        <f>('[6]ТТЭЦ-1'!$AP$12+'[6]ТТЭЦ-1'!$AT$12+'[6]ТТЭЦ-1'!$AX$12)/1000</f>
        <v>96282.875060000006</v>
      </c>
      <c r="E35" s="41"/>
      <c r="F35" s="41"/>
    </row>
    <row r="36" spans="1:6">
      <c r="A36" s="36" t="s">
        <v>129</v>
      </c>
      <c r="B36" s="9" t="s">
        <v>130</v>
      </c>
      <c r="C36" s="36" t="s">
        <v>100</v>
      </c>
      <c r="D36" s="41"/>
      <c r="E36" s="41"/>
      <c r="F36" s="41"/>
    </row>
    <row r="37" spans="1:6">
      <c r="A37" s="36" t="s">
        <v>131</v>
      </c>
      <c r="B37" s="38" t="s">
        <v>21</v>
      </c>
      <c r="C37" s="36" t="s">
        <v>100</v>
      </c>
      <c r="D37" s="41"/>
      <c r="E37" s="41"/>
      <c r="F37" s="41"/>
    </row>
    <row r="38" spans="1:6">
      <c r="A38" s="36" t="s">
        <v>132</v>
      </c>
      <c r="B38" s="38" t="s">
        <v>40</v>
      </c>
      <c r="C38" s="36" t="s">
        <v>100</v>
      </c>
      <c r="D38" s="41"/>
      <c r="E38" s="41"/>
      <c r="F38" s="41"/>
    </row>
    <row r="39" spans="1:6">
      <c r="A39" s="36" t="s">
        <v>133</v>
      </c>
      <c r="B39" s="9" t="s">
        <v>134</v>
      </c>
      <c r="C39" s="36" t="s">
        <v>100</v>
      </c>
      <c r="D39" s="41"/>
      <c r="E39" s="41"/>
      <c r="F39" s="41"/>
    </row>
    <row r="40" spans="1:6">
      <c r="A40" s="36" t="s">
        <v>135</v>
      </c>
      <c r="B40" s="38" t="s">
        <v>18</v>
      </c>
      <c r="C40" s="36" t="s">
        <v>100</v>
      </c>
      <c r="D40" s="41"/>
      <c r="E40" s="41"/>
      <c r="F40" s="41"/>
    </row>
    <row r="41" spans="1:6">
      <c r="A41" s="36" t="s">
        <v>136</v>
      </c>
      <c r="B41" s="38" t="s">
        <v>19</v>
      </c>
      <c r="C41" s="36" t="s">
        <v>100</v>
      </c>
      <c r="D41" s="41"/>
      <c r="E41" s="41"/>
      <c r="F41" s="41"/>
    </row>
    <row r="42" spans="1:6" ht="25.5">
      <c r="A42" s="36" t="s">
        <v>137</v>
      </c>
      <c r="B42" s="38" t="s">
        <v>20</v>
      </c>
      <c r="C42" s="36" t="s">
        <v>100</v>
      </c>
      <c r="D42" s="41"/>
      <c r="E42" s="41"/>
      <c r="F42" s="41"/>
    </row>
    <row r="43" spans="1:6" ht="25.5">
      <c r="A43" s="36" t="s">
        <v>138</v>
      </c>
      <c r="B43" s="9" t="s">
        <v>139</v>
      </c>
      <c r="C43" s="36" t="s">
        <v>100</v>
      </c>
      <c r="D43" s="41"/>
      <c r="E43" s="41"/>
      <c r="F43" s="41"/>
    </row>
    <row r="44" spans="1:6">
      <c r="A44" s="36" t="s">
        <v>140</v>
      </c>
      <c r="B44" s="38" t="s">
        <v>18</v>
      </c>
      <c r="C44" s="36" t="s">
        <v>100</v>
      </c>
      <c r="D44" s="41"/>
      <c r="E44" s="41"/>
      <c r="F44" s="41"/>
    </row>
    <row r="45" spans="1:6">
      <c r="A45" s="36" t="s">
        <v>141</v>
      </c>
      <c r="B45" s="38" t="s">
        <v>19</v>
      </c>
      <c r="C45" s="36" t="s">
        <v>100</v>
      </c>
      <c r="D45" s="41"/>
      <c r="E45" s="41"/>
      <c r="F45" s="41"/>
    </row>
    <row r="46" spans="1:6" ht="25.5">
      <c r="A46" s="36" t="s">
        <v>142</v>
      </c>
      <c r="B46" s="38" t="s">
        <v>20</v>
      </c>
      <c r="C46" s="36" t="s">
        <v>100</v>
      </c>
      <c r="D46" s="41"/>
      <c r="E46" s="41"/>
      <c r="F46" s="41"/>
    </row>
    <row r="47" spans="1:6">
      <c r="A47" s="36" t="s">
        <v>143</v>
      </c>
      <c r="B47" s="9" t="s">
        <v>178</v>
      </c>
      <c r="C47" s="36" t="s">
        <v>100</v>
      </c>
      <c r="D47" s="52">
        <v>12200091</v>
      </c>
      <c r="E47" s="41"/>
      <c r="F47" s="41"/>
    </row>
    <row r="48" spans="1:6" ht="25.5">
      <c r="A48" s="36" t="s">
        <v>144</v>
      </c>
      <c r="B48" s="9" t="s">
        <v>177</v>
      </c>
      <c r="C48" s="36" t="s">
        <v>145</v>
      </c>
      <c r="D48" s="31">
        <f>19896480/65281414</f>
        <v>0.30478016300320948</v>
      </c>
      <c r="E48" s="41"/>
      <c r="F48" s="41"/>
    </row>
    <row r="49" spans="1:6" ht="229.5">
      <c r="A49" s="36" t="s">
        <v>146</v>
      </c>
      <c r="B49" s="9" t="s">
        <v>13</v>
      </c>
      <c r="C49" s="36" t="s">
        <v>32</v>
      </c>
      <c r="D49" s="9" t="s">
        <v>199</v>
      </c>
      <c r="E49" s="9" t="s">
        <v>198</v>
      </c>
      <c r="F49" s="9" t="s">
        <v>147</v>
      </c>
    </row>
    <row r="50" spans="1:6">
      <c r="B50" s="8"/>
    </row>
    <row r="51" spans="1:6">
      <c r="A51" s="98" t="s">
        <v>148</v>
      </c>
      <c r="B51" s="98"/>
      <c r="C51" s="98"/>
      <c r="D51" s="98"/>
      <c r="E51" s="98"/>
      <c r="F51" s="98"/>
    </row>
    <row r="52" spans="1:6">
      <c r="A52" s="98" t="s">
        <v>186</v>
      </c>
      <c r="B52" s="98"/>
      <c r="C52" s="98"/>
      <c r="D52" s="98"/>
      <c r="E52" s="98"/>
      <c r="F52" s="98"/>
    </row>
  </sheetData>
  <mergeCells count="7">
    <mergeCell ref="A51:F51"/>
    <mergeCell ref="A52:F52"/>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activeCell="D15" sqref="D15:D16"/>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175</v>
      </c>
    </row>
    <row r="2" spans="1:11">
      <c r="F2" s="27"/>
      <c r="I2" s="26" t="s">
        <v>77</v>
      </c>
    </row>
    <row r="3" spans="1:11">
      <c r="F3" s="27"/>
    </row>
    <row r="4" spans="1:11">
      <c r="A4" s="79" t="s">
        <v>41</v>
      </c>
      <c r="B4" s="97"/>
      <c r="C4" s="97"/>
      <c r="D4" s="97"/>
      <c r="E4" s="97"/>
      <c r="F4" s="97"/>
      <c r="G4" s="97"/>
      <c r="H4" s="97"/>
      <c r="I4" s="97"/>
    </row>
    <row r="5" spans="1:11">
      <c r="A5" s="79" t="str">
        <f>Титульный!$C$19</f>
        <v>Тюменская ТЭЦ-1 без ДПМ/НВ</v>
      </c>
      <c r="B5" s="97"/>
      <c r="C5" s="97"/>
      <c r="D5" s="97"/>
      <c r="E5" s="97"/>
      <c r="F5" s="97"/>
      <c r="G5" s="97"/>
      <c r="H5" s="97"/>
      <c r="I5" s="97"/>
    </row>
    <row r="7" spans="1:11" s="3" customFormat="1" ht="32.25" customHeight="1">
      <c r="A7" s="101" t="s">
        <v>87</v>
      </c>
      <c r="B7" s="101" t="s">
        <v>9</v>
      </c>
      <c r="C7" s="101" t="s">
        <v>153</v>
      </c>
      <c r="D7" s="101" t="s">
        <v>173</v>
      </c>
      <c r="E7" s="101"/>
      <c r="F7" s="101" t="s">
        <v>150</v>
      </c>
      <c r="G7" s="101"/>
      <c r="H7" s="101" t="s">
        <v>151</v>
      </c>
      <c r="I7" s="101"/>
      <c r="K7" s="2"/>
    </row>
    <row r="8" spans="1:11" s="3" customFormat="1">
      <c r="A8" s="101"/>
      <c r="B8" s="101"/>
      <c r="C8" s="101"/>
      <c r="D8" s="42">
        <f>Титульный!$B$5-2</f>
        <v>2017</v>
      </c>
      <c r="E8" s="43" t="s">
        <v>68</v>
      </c>
      <c r="F8" s="42">
        <f>Титульный!$B$5-1</f>
        <v>2018</v>
      </c>
      <c r="G8" s="43" t="s">
        <v>68</v>
      </c>
      <c r="H8" s="42">
        <f>Титульный!$B$5</f>
        <v>2019</v>
      </c>
      <c r="I8" s="43" t="s">
        <v>68</v>
      </c>
      <c r="K8" s="2"/>
    </row>
    <row r="9" spans="1:11" s="3" customFormat="1">
      <c r="A9" s="101"/>
      <c r="B9" s="101"/>
      <c r="C9" s="101"/>
      <c r="D9" s="10" t="s">
        <v>22</v>
      </c>
      <c r="E9" s="10" t="s">
        <v>23</v>
      </c>
      <c r="F9" s="10" t="s">
        <v>22</v>
      </c>
      <c r="G9" s="10" t="s">
        <v>23</v>
      </c>
      <c r="H9" s="10" t="s">
        <v>22</v>
      </c>
      <c r="I9" s="10" t="s">
        <v>23</v>
      </c>
    </row>
    <row r="10" spans="1:11" ht="12.75" customHeight="1">
      <c r="A10" s="102" t="s">
        <v>170</v>
      </c>
      <c r="B10" s="103"/>
      <c r="C10" s="103"/>
      <c r="D10" s="103"/>
      <c r="E10" s="103"/>
      <c r="F10" s="103"/>
      <c r="G10" s="103"/>
      <c r="H10" s="103"/>
      <c r="I10" s="104"/>
    </row>
    <row r="11" spans="1:11" ht="12.75" customHeight="1">
      <c r="A11" s="30" t="s">
        <v>154</v>
      </c>
      <c r="B11" s="37" t="s">
        <v>155</v>
      </c>
      <c r="C11" s="36" t="s">
        <v>168</v>
      </c>
      <c r="D11" s="29">
        <f>'[7]Утв. тарифы на ЭЭ и ЭМ'!$E$23</f>
        <v>606.78</v>
      </c>
      <c r="E11" s="29">
        <f>'[7]Утв. тарифы на ЭЭ и ЭМ'!$F$23</f>
        <v>619.63</v>
      </c>
      <c r="F11" s="29">
        <f>E11</f>
        <v>619.63</v>
      </c>
      <c r="G11" s="29">
        <f>'[35]0.1'!$G$20</f>
        <v>638.83875139311374</v>
      </c>
      <c r="H11" s="105">
        <f>'[35]0.1'!$L$20</f>
        <v>689.93092849451978</v>
      </c>
      <c r="I11" s="106"/>
      <c r="K11" s="65" t="b">
        <f>ROUND([9]Лист1!$D$146,1)=ROUND(H11,1)</f>
        <v>1</v>
      </c>
    </row>
    <row r="12" spans="1:11" ht="12.75" customHeight="1">
      <c r="A12" s="30"/>
      <c r="B12" s="45" t="s">
        <v>171</v>
      </c>
      <c r="C12" s="36" t="s">
        <v>168</v>
      </c>
      <c r="D12" s="29">
        <f>('[5]ТТЭЦ-1 ДМ'!$F$255+'[5]ТТЭЦ-1 ДМ'!$G$255+'[5]ТТЭЦ-1 ДМ'!$H$255+'[5]ТТЭЦ-1 ДМ'!$J$255+'[5]ТТЭЦ-1 ДМ'!$K$255+'[5]ТТЭЦ-1 ДМ'!$L$255)/('[5]ТТЭЦ-1 ДМ'!$F$22+'[5]ТТЭЦ-1 ДМ'!$G$22+'[5]ТТЭЦ-1 ДМ'!$H$22+'[5]ТТЭЦ-1 ДМ'!$J$22+'[5]ТТЭЦ-1 ДМ'!$K$22+'[5]ТТЭЦ-1 ДМ'!$L$22)</f>
        <v>693.42791495276958</v>
      </c>
      <c r="E12" s="29">
        <f>('[5]ТТЭЦ-1 ДМ'!$N$255+'[5]ТТЭЦ-1 ДМ'!$O$255+'[5]ТТЭЦ-1 ДМ'!$P$255+'[5]ТТЭЦ-1 ДМ'!$R$255+'[5]ТТЭЦ-1 ДМ'!$S$255+'[5]ТТЭЦ-1 ДМ'!$T$255)/('[5]ТТЭЦ-1 ДМ'!$N$22+'[5]ТТЭЦ-1 ДМ'!$O$22+'[5]ТТЭЦ-1 ДМ'!$P$22+'[5]ТТЭЦ-1 ДМ'!$R$22+'[5]ТТЭЦ-1 ДМ'!$S$22+'[5]ТТЭЦ-1 ДМ'!$T$22)</f>
        <v>739.21438125350096</v>
      </c>
      <c r="F12" s="29">
        <f>'[35]2.2'!$G$170</f>
        <v>612.65962690378774</v>
      </c>
      <c r="G12" s="29">
        <f>'[35]2.1'!$G$170</f>
        <v>631.58861937840948</v>
      </c>
      <c r="H12" s="105">
        <f>'[35]2'!$G$170</f>
        <v>682.35357913915379</v>
      </c>
      <c r="I12" s="106"/>
    </row>
    <row r="13" spans="1:11" ht="12.75" customHeight="1">
      <c r="A13" s="30" t="s">
        <v>156</v>
      </c>
      <c r="B13" s="37" t="s">
        <v>157</v>
      </c>
      <c r="C13" s="36" t="s">
        <v>158</v>
      </c>
      <c r="D13" s="29">
        <f>'[7]Утв. тарифы на ЭЭ и ЭМ'!$G$23</f>
        <v>164503.75</v>
      </c>
      <c r="E13" s="29">
        <f>'[7]Утв. тарифы на ЭЭ и ЭМ'!$H$23</f>
        <v>172127.78</v>
      </c>
      <c r="F13" s="29">
        <f>E13</f>
        <v>172127.78</v>
      </c>
      <c r="G13" s="29">
        <f>'[35]0.1'!$H$21</f>
        <v>181316.22903624867</v>
      </c>
      <c r="H13" s="105">
        <f>'[35]0.1'!$L$21</f>
        <v>191839.22165358681</v>
      </c>
      <c r="I13" s="106"/>
      <c r="K13" s="65" t="b">
        <f>ROUND([9]Лист1!$E$146,1)=ROUND(H13,1)</f>
        <v>1</v>
      </c>
    </row>
    <row r="14" spans="1:11" ht="27.75" customHeight="1">
      <c r="A14" s="30" t="s">
        <v>159</v>
      </c>
      <c r="B14" s="37" t="s">
        <v>174</v>
      </c>
      <c r="C14" s="36" t="s">
        <v>47</v>
      </c>
      <c r="D14" s="105">
        <f>[11]Индексация_ТО!$AU$111</f>
        <v>547.34348957321345</v>
      </c>
      <c r="E14" s="106"/>
      <c r="F14" s="105">
        <f>[11]Индексация_ТО!$BC$111</f>
        <v>567.90720088177397</v>
      </c>
      <c r="G14" s="106"/>
      <c r="H14" s="105">
        <f>'[12]6.1. ТО'!$I$16</f>
        <v>710.17783881266428</v>
      </c>
      <c r="I14" s="106"/>
    </row>
    <row r="15" spans="1:11" ht="26.25" customHeight="1">
      <c r="A15" s="30" t="s">
        <v>160</v>
      </c>
      <c r="B15" s="46" t="s">
        <v>48</v>
      </c>
      <c r="C15" s="36" t="s">
        <v>47</v>
      </c>
      <c r="D15" s="29">
        <f>'[13]Утв. тарифы на ТЭ и ТН'!N9</f>
        <v>535.04999999999995</v>
      </c>
      <c r="E15" s="29">
        <f>'[13]Утв. тарифы на ТЭ и ТН'!O9</f>
        <v>564.42999999999995</v>
      </c>
      <c r="F15" s="29">
        <f>'[13]Утв. тарифы на ТЭ и ТН'!P9</f>
        <v>564.42999999999995</v>
      </c>
      <c r="G15" s="29">
        <f>'[13]Утв. тарифы на ТЭ и ТН'!Q9</f>
        <v>572.35</v>
      </c>
      <c r="H15" s="105">
        <f>'[12]6.1. ТО'!$I$17</f>
        <v>709.87105867398736</v>
      </c>
      <c r="I15" s="108"/>
    </row>
    <row r="16" spans="1:11" ht="12.75" customHeight="1">
      <c r="A16" s="30" t="s">
        <v>161</v>
      </c>
      <c r="B16" s="46" t="s">
        <v>49</v>
      </c>
      <c r="C16" s="36" t="s">
        <v>47</v>
      </c>
      <c r="D16" s="44"/>
      <c r="E16" s="44"/>
      <c r="F16" s="44"/>
      <c r="G16" s="44"/>
      <c r="H16" s="44"/>
      <c r="I16" s="44"/>
    </row>
    <row r="17" spans="1:9" ht="12.75" customHeight="1">
      <c r="A17" s="30"/>
      <c r="B17" s="38" t="s">
        <v>50</v>
      </c>
      <c r="C17" s="36" t="s">
        <v>47</v>
      </c>
      <c r="D17" s="44"/>
      <c r="E17" s="44"/>
      <c r="F17" s="44"/>
      <c r="G17" s="44"/>
      <c r="H17" s="44"/>
      <c r="I17" s="44"/>
    </row>
    <row r="18" spans="1:9" ht="12.75" customHeight="1">
      <c r="A18" s="30"/>
      <c r="B18" s="38" t="s">
        <v>51</v>
      </c>
      <c r="C18" s="36" t="s">
        <v>47</v>
      </c>
      <c r="D18" s="44"/>
      <c r="E18" s="44"/>
      <c r="F18" s="44"/>
      <c r="G18" s="44"/>
      <c r="H18" s="44"/>
      <c r="I18" s="44"/>
    </row>
    <row r="19" spans="1:9" ht="12.75" customHeight="1">
      <c r="A19" s="30"/>
      <c r="B19" s="38" t="s">
        <v>52</v>
      </c>
      <c r="C19" s="36" t="s">
        <v>47</v>
      </c>
      <c r="D19" s="44"/>
      <c r="E19" s="44"/>
      <c r="F19" s="44"/>
      <c r="G19" s="44"/>
      <c r="H19" s="44"/>
      <c r="I19" s="44"/>
    </row>
    <row r="20" spans="1:9" ht="12.75" customHeight="1">
      <c r="A20" s="30"/>
      <c r="B20" s="38" t="s">
        <v>53</v>
      </c>
      <c r="C20" s="36" t="s">
        <v>47</v>
      </c>
      <c r="D20" s="29">
        <f>'[13]Утв. тарифы на ТЭ и ТН'!N15</f>
        <v>636.96</v>
      </c>
      <c r="E20" s="29">
        <f>'[13]Утв. тарифы на ТЭ и ТН'!O15</f>
        <v>671.93</v>
      </c>
      <c r="F20" s="29">
        <f>'[13]Утв. тарифы на ТЭ и ТН'!P15</f>
        <v>671.93</v>
      </c>
      <c r="G20" s="29">
        <f>'[13]Утв. тарифы на ТЭ и ТН'!Q15</f>
        <v>681.36</v>
      </c>
      <c r="H20" s="105">
        <f>'[12]6.1. ТО'!$I$21</f>
        <v>851.70376435992671</v>
      </c>
      <c r="I20" s="108"/>
    </row>
    <row r="21" spans="1:9" ht="12.75" customHeight="1">
      <c r="A21" s="30" t="s">
        <v>162</v>
      </c>
      <c r="B21" s="46" t="s">
        <v>54</v>
      </c>
      <c r="C21" s="36" t="s">
        <v>47</v>
      </c>
      <c r="D21" s="44"/>
      <c r="E21" s="44"/>
      <c r="F21" s="44"/>
      <c r="G21" s="44"/>
      <c r="H21" s="44"/>
      <c r="I21" s="44"/>
    </row>
    <row r="22" spans="1:9" ht="12.75" customHeight="1">
      <c r="A22" s="30" t="s">
        <v>163</v>
      </c>
      <c r="B22" s="37" t="s">
        <v>55</v>
      </c>
      <c r="C22" s="36" t="s">
        <v>32</v>
      </c>
      <c r="D22" s="44"/>
      <c r="E22" s="44"/>
      <c r="F22" s="44"/>
      <c r="G22" s="44"/>
      <c r="H22" s="44"/>
      <c r="I22" s="44"/>
    </row>
    <row r="23" spans="1:9" ht="25.5" customHeight="1">
      <c r="A23" s="30" t="s">
        <v>164</v>
      </c>
      <c r="B23" s="38" t="s">
        <v>56</v>
      </c>
      <c r="C23" s="30" t="s">
        <v>57</v>
      </c>
      <c r="D23" s="44"/>
      <c r="E23" s="44"/>
      <c r="F23" s="44"/>
      <c r="G23" s="44"/>
      <c r="H23" s="44"/>
      <c r="I23" s="44"/>
    </row>
    <row r="24" spans="1:9" ht="12.75" customHeight="1">
      <c r="A24" s="30" t="s">
        <v>165</v>
      </c>
      <c r="B24" s="46" t="s">
        <v>58</v>
      </c>
      <c r="C24" s="36" t="s">
        <v>47</v>
      </c>
      <c r="D24" s="44"/>
      <c r="E24" s="44"/>
      <c r="F24" s="44"/>
      <c r="G24" s="44"/>
      <c r="H24" s="44"/>
      <c r="I24" s="44"/>
    </row>
    <row r="25" spans="1:9" ht="12.75" customHeight="1">
      <c r="A25" s="30" t="s">
        <v>166</v>
      </c>
      <c r="B25" s="37" t="s">
        <v>59</v>
      </c>
      <c r="C25" s="36" t="s">
        <v>169</v>
      </c>
      <c r="D25" s="44"/>
      <c r="E25" s="44"/>
      <c r="F25" s="44"/>
      <c r="G25" s="44"/>
      <c r="H25" s="44"/>
      <c r="I25" s="44"/>
    </row>
    <row r="26" spans="1:9" ht="15" customHeight="1">
      <c r="A26" s="30"/>
      <c r="B26" s="38" t="s">
        <v>60</v>
      </c>
      <c r="C26" s="36" t="s">
        <v>169</v>
      </c>
      <c r="D26" s="29">
        <f>'[13]Утв. тарифы на ТЭ и ТН'!N27</f>
        <v>29.33</v>
      </c>
      <c r="E26" s="29">
        <f>'[13]Утв. тарифы на ТЭ и ТН'!O27</f>
        <v>29.33</v>
      </c>
      <c r="F26" s="29">
        <f>'[13]Утв. тарифы на ТЭ и ТН'!P27</f>
        <v>29.33</v>
      </c>
      <c r="G26" s="29">
        <f>'[13]Утв. тарифы на ТЭ и ТН'!Q27</f>
        <v>29.83</v>
      </c>
      <c r="H26" s="105">
        <f>[12]ТН_Тюмень!$E$21</f>
        <v>47.419928082587163</v>
      </c>
      <c r="I26" s="108"/>
    </row>
    <row r="27" spans="1:9">
      <c r="A27" s="30"/>
      <c r="B27" s="38" t="s">
        <v>61</v>
      </c>
      <c r="C27" s="36" t="s">
        <v>169</v>
      </c>
      <c r="D27" s="29">
        <f>'[13]Утв. тарифы на ТЭ и ТН'!N36</f>
        <v>50.8</v>
      </c>
      <c r="E27" s="29">
        <f>'[13]Утв. тарифы на ТЭ и ТН'!O36</f>
        <v>52.58</v>
      </c>
      <c r="F27" s="29">
        <f>'[13]Утв. тарифы на ТЭ и ТН'!P36</f>
        <v>57.02</v>
      </c>
      <c r="G27" s="29">
        <f>'[13]Утв. тарифы на ТЭ и ТН'!Q36</f>
        <v>57.02</v>
      </c>
      <c r="H27" s="105">
        <f>[12]ТН_Тюмень!$E$22</f>
        <v>100.76825902438044</v>
      </c>
      <c r="I27" s="108"/>
    </row>
    <row r="28" spans="1:9">
      <c r="A28" s="8"/>
      <c r="B28" s="33"/>
      <c r="C28" s="32"/>
      <c r="D28" s="33"/>
      <c r="E28" s="33"/>
      <c r="F28" s="33"/>
      <c r="G28" s="33"/>
      <c r="H28" s="33"/>
      <c r="I28" s="33"/>
    </row>
    <row r="29" spans="1:9">
      <c r="A29" s="98" t="s">
        <v>167</v>
      </c>
      <c r="B29" s="98"/>
      <c r="C29" s="98"/>
      <c r="D29" s="98"/>
      <c r="E29" s="98"/>
      <c r="F29" s="98"/>
      <c r="G29" s="98"/>
      <c r="H29" s="98"/>
      <c r="I29" s="98"/>
    </row>
    <row r="30" spans="1:9">
      <c r="A30" s="98" t="s">
        <v>172</v>
      </c>
      <c r="B30" s="98"/>
      <c r="C30" s="98"/>
      <c r="D30" s="98"/>
      <c r="E30" s="98"/>
      <c r="F30" s="98"/>
      <c r="G30" s="98"/>
      <c r="H30" s="98"/>
      <c r="I30" s="98"/>
    </row>
    <row r="31" spans="1:9">
      <c r="A31" s="98" t="s">
        <v>181</v>
      </c>
      <c r="B31" s="98"/>
      <c r="C31" s="98"/>
      <c r="D31" s="98"/>
      <c r="E31" s="98"/>
      <c r="F31" s="98"/>
      <c r="G31" s="98"/>
      <c r="H31" s="98"/>
      <c r="I31" s="98"/>
    </row>
    <row r="32" spans="1:9">
      <c r="A32" s="98" t="s">
        <v>183</v>
      </c>
      <c r="B32" s="98"/>
      <c r="C32" s="98"/>
      <c r="D32" s="98"/>
      <c r="E32" s="98"/>
      <c r="F32" s="98"/>
      <c r="G32" s="98"/>
      <c r="H32" s="98"/>
      <c r="I32" s="98"/>
    </row>
  </sheetData>
  <mergeCells count="23">
    <mergeCell ref="A4:I4"/>
    <mergeCell ref="A5:I5"/>
    <mergeCell ref="A7:A9"/>
    <mergeCell ref="B7:B9"/>
    <mergeCell ref="C7:C9"/>
    <mergeCell ref="D7:E7"/>
    <mergeCell ref="F7:G7"/>
    <mergeCell ref="H7:I7"/>
    <mergeCell ref="A32:I32"/>
    <mergeCell ref="H20:I20"/>
    <mergeCell ref="H27:I27"/>
    <mergeCell ref="A10:I10"/>
    <mergeCell ref="H11:I11"/>
    <mergeCell ref="H12:I12"/>
    <mergeCell ref="H13:I13"/>
    <mergeCell ref="D14:E14"/>
    <mergeCell ref="F14:G14"/>
    <mergeCell ref="H14:I14"/>
    <mergeCell ref="H15:I15"/>
    <mergeCell ref="H26:I26"/>
    <mergeCell ref="A29:I29"/>
    <mergeCell ref="A30:I30"/>
    <mergeCell ref="A31:I31"/>
  </mergeCells>
  <conditionalFormatting sqref="K11">
    <cfRule type="containsText" dxfId="15" priority="3" operator="containsText" text="ложь">
      <formula>NOT(ISERROR(SEARCH("ложь",K11)))</formula>
    </cfRule>
    <cfRule type="containsText" dxfId="14" priority="4" operator="containsText" text="истина">
      <formula>NOT(ISERROR(SEARCH("истина",K11)))</formula>
    </cfRule>
  </conditionalFormatting>
  <conditionalFormatting sqref="K13">
    <cfRule type="containsText" dxfId="13" priority="1" operator="containsText" text="ложь">
      <formula>NOT(ISERROR(SEARCH("ложь",K13)))</formula>
    </cfRule>
    <cfRule type="containsText" dxfId="12" priority="2" operator="containsText" text="истина">
      <formula>NOT(ISERROR(SEARCH("истина",K13)))</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9" activePane="bottomRight" state="frozen"/>
      <selection activeCell="F49" sqref="F49"/>
      <selection pane="topRight" activeCell="F49" sqref="F49"/>
      <selection pane="bottomLeft" activeCell="F49" sqref="F49"/>
      <selection pane="bottomRight" activeCell="F49" sqref="F49"/>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176</v>
      </c>
    </row>
    <row r="2" spans="1:6">
      <c r="F2" s="34" t="s">
        <v>77</v>
      </c>
    </row>
    <row r="3" spans="1:6">
      <c r="B3" s="63"/>
    </row>
    <row r="4" spans="1:6">
      <c r="A4" s="99" t="s">
        <v>39</v>
      </c>
      <c r="B4" s="99"/>
      <c r="C4" s="99"/>
      <c r="D4" s="99"/>
      <c r="E4" s="99"/>
      <c r="F4" s="99"/>
    </row>
    <row r="5" spans="1:6">
      <c r="A5" s="99" t="str">
        <f>Титульный!$C$20</f>
        <v>Тюменская ТЭЦ-1 (БЛ 2) ДПМ</v>
      </c>
      <c r="B5" s="99"/>
      <c r="C5" s="99"/>
      <c r="D5" s="99"/>
      <c r="E5" s="99"/>
      <c r="F5" s="99"/>
    </row>
    <row r="6" spans="1:6">
      <c r="A6" s="35"/>
      <c r="B6" s="35"/>
      <c r="C6" s="35"/>
      <c r="D6" s="35"/>
      <c r="E6" s="35"/>
      <c r="F6" s="35"/>
    </row>
    <row r="7" spans="1:6" s="8" customFormat="1" ht="38.25">
      <c r="A7" s="100" t="s">
        <v>1</v>
      </c>
      <c r="B7" s="100" t="s">
        <v>9</v>
      </c>
      <c r="C7" s="100" t="s">
        <v>10</v>
      </c>
      <c r="D7" s="30" t="s">
        <v>149</v>
      </c>
      <c r="E7" s="30" t="s">
        <v>150</v>
      </c>
      <c r="F7" s="30" t="s">
        <v>151</v>
      </c>
    </row>
    <row r="8" spans="1:6" s="8" customFormat="1">
      <c r="A8" s="100"/>
      <c r="B8" s="100"/>
      <c r="C8" s="100"/>
      <c r="D8" s="30">
        <f>Титульный!$B$5-2</f>
        <v>2017</v>
      </c>
      <c r="E8" s="30">
        <f>Титульный!$B$5-1</f>
        <v>2018</v>
      </c>
      <c r="F8" s="30">
        <f>Титульный!$B$5</f>
        <v>2019</v>
      </c>
    </row>
    <row r="9" spans="1:6" s="8" customFormat="1">
      <c r="A9" s="100"/>
      <c r="B9" s="100"/>
      <c r="C9" s="100"/>
      <c r="D9" s="30" t="s">
        <v>68</v>
      </c>
      <c r="E9" s="30" t="s">
        <v>68</v>
      </c>
      <c r="F9" s="30" t="s">
        <v>68</v>
      </c>
    </row>
    <row r="10" spans="1:6">
      <c r="A10" s="36" t="s">
        <v>88</v>
      </c>
      <c r="B10" s="37" t="s">
        <v>33</v>
      </c>
      <c r="C10" s="36" t="s">
        <v>35</v>
      </c>
      <c r="D10" s="29">
        <f>[36]Год!$H$11</f>
        <v>209.69999999999996</v>
      </c>
      <c r="E10" s="29">
        <f>'[37]0.1'!$I$11</f>
        <v>209.69999999999996</v>
      </c>
      <c r="F10" s="29">
        <f>'[37]0.1'!$L$11</f>
        <v>209.69999999999996</v>
      </c>
    </row>
    <row r="11" spans="1:6" ht="38.25">
      <c r="A11" s="36" t="s">
        <v>89</v>
      </c>
      <c r="B11" s="37" t="s">
        <v>34</v>
      </c>
      <c r="C11" s="36" t="s">
        <v>35</v>
      </c>
      <c r="D11" s="29">
        <f>[36]Год!$H$12-[36]Год!$H$14</f>
        <v>199.49856574714107</v>
      </c>
      <c r="E11" s="29">
        <f>'[37]0.1'!$I$12</f>
        <v>200.28999999999996</v>
      </c>
      <c r="F11" s="29">
        <f>'[37]0.1'!$L$12</f>
        <v>199.67732068185694</v>
      </c>
    </row>
    <row r="12" spans="1:6">
      <c r="A12" s="36" t="s">
        <v>90</v>
      </c>
      <c r="B12" s="37" t="s">
        <v>91</v>
      </c>
      <c r="C12" s="36" t="s">
        <v>152</v>
      </c>
      <c r="D12" s="29">
        <f>'[5]ТТЭЦ-1 НМ'!$E$7</f>
        <v>1370.3389999999997</v>
      </c>
      <c r="E12" s="29">
        <f>'[37]0.1'!$I$13</f>
        <v>1302.72</v>
      </c>
      <c r="F12" s="29">
        <f>'[37]0.1'!$L$13</f>
        <v>1302.7199999999998</v>
      </c>
    </row>
    <row r="13" spans="1:6">
      <c r="A13" s="36" t="s">
        <v>92</v>
      </c>
      <c r="B13" s="37" t="s">
        <v>93</v>
      </c>
      <c r="C13" s="36" t="s">
        <v>152</v>
      </c>
      <c r="D13" s="29">
        <f>'[5]ТТЭЦ-1 НМ'!$E$22</f>
        <v>1282.0366979999997</v>
      </c>
      <c r="E13" s="29">
        <f>'[37]0.1'!$I$15</f>
        <v>1229.42</v>
      </c>
      <c r="F13" s="29">
        <f>'[37]0.1'!$L$15</f>
        <v>1214.9579999999999</v>
      </c>
    </row>
    <row r="14" spans="1:6">
      <c r="A14" s="36" t="s">
        <v>94</v>
      </c>
      <c r="B14" s="37" t="s">
        <v>95</v>
      </c>
      <c r="C14" s="36" t="s">
        <v>96</v>
      </c>
      <c r="D14" s="29">
        <f>'[5]ТТЭЦ-1 НМ'!$E$23</f>
        <v>848.79000000000008</v>
      </c>
      <c r="E14" s="29">
        <f>'[37]0.1'!$I$16</f>
        <v>759.74</v>
      </c>
      <c r="F14" s="29">
        <f>'[37]0.1'!$L$16</f>
        <v>927.68400000000008</v>
      </c>
    </row>
    <row r="15" spans="1:6">
      <c r="A15" s="36" t="s">
        <v>97</v>
      </c>
      <c r="B15" s="37" t="s">
        <v>98</v>
      </c>
      <c r="C15" s="36" t="s">
        <v>96</v>
      </c>
      <c r="D15" s="29">
        <f>'[5]ТТЭЦ-1 НМ'!$E$26</f>
        <v>848.79000000000008</v>
      </c>
      <c r="E15" s="29">
        <f>'[37]0.1'!$I$17</f>
        <v>759.74</v>
      </c>
      <c r="F15" s="29">
        <f>'[37]0.1'!$L$17</f>
        <v>927.68400000000008</v>
      </c>
    </row>
    <row r="16" spans="1:6">
      <c r="A16" s="36" t="s">
        <v>99</v>
      </c>
      <c r="B16" s="37" t="s">
        <v>11</v>
      </c>
      <c r="C16" s="36" t="s">
        <v>100</v>
      </c>
      <c r="D16" s="40"/>
      <c r="E16" s="29">
        <f>'[37]0.1'!$I$43</f>
        <v>890038.43536000466</v>
      </c>
      <c r="F16" s="29">
        <f>'[37]0.1'!$L$43</f>
        <v>709200.19783559127</v>
      </c>
    </row>
    <row r="17" spans="1:8">
      <c r="A17" s="36" t="s">
        <v>101</v>
      </c>
      <c r="B17" s="38" t="s">
        <v>14</v>
      </c>
      <c r="C17" s="36" t="s">
        <v>100</v>
      </c>
      <c r="D17" s="40"/>
      <c r="E17" s="29">
        <f>'[37]0.1'!$G$43</f>
        <v>890038.43536000466</v>
      </c>
      <c r="F17" s="29">
        <f>'[37]0.1'!$J$43</f>
        <v>709200.19783559127</v>
      </c>
    </row>
    <row r="18" spans="1:8">
      <c r="A18" s="36" t="s">
        <v>102</v>
      </c>
      <c r="B18" s="38" t="s">
        <v>15</v>
      </c>
      <c r="C18" s="36" t="s">
        <v>100</v>
      </c>
      <c r="D18" s="40"/>
      <c r="E18" s="29">
        <f>'[37]0.1'!$H$43</f>
        <v>0</v>
      </c>
      <c r="F18" s="29">
        <f>'[37]0.1'!$K$43</f>
        <v>0</v>
      </c>
    </row>
    <row r="19" spans="1:8" ht="25.5">
      <c r="A19" s="36" t="s">
        <v>103</v>
      </c>
      <c r="B19" s="38" t="s">
        <v>16</v>
      </c>
      <c r="C19" s="36" t="s">
        <v>100</v>
      </c>
      <c r="D19" s="41"/>
      <c r="E19" s="41"/>
      <c r="F19" s="41"/>
    </row>
    <row r="20" spans="1:8">
      <c r="A20" s="36" t="s">
        <v>104</v>
      </c>
      <c r="B20" s="37" t="s">
        <v>105</v>
      </c>
      <c r="C20" s="36" t="s">
        <v>100</v>
      </c>
      <c r="D20" s="29">
        <f>'[5]ТТЭЦ-1 НМ'!$E$235</f>
        <v>1201089.20303</v>
      </c>
      <c r="E20" s="29">
        <f>'[37]0.1'!$I$31</f>
        <v>1145266.2258344942</v>
      </c>
      <c r="F20" s="29">
        <f>'[37]0.1'!$L$31</f>
        <v>1122623.9729861554</v>
      </c>
      <c r="G20" s="47"/>
      <c r="H20" s="47"/>
    </row>
    <row r="21" spans="1:8">
      <c r="A21" s="36" t="s">
        <v>106</v>
      </c>
      <c r="B21" s="38" t="s">
        <v>107</v>
      </c>
      <c r="C21" s="36" t="s">
        <v>100</v>
      </c>
      <c r="D21" s="29">
        <f>'[5]ТТЭЦ-1 НМ'!$E$255</f>
        <v>916851.35759999987</v>
      </c>
      <c r="E21" s="29">
        <f>'[37]0.1'!$I$32</f>
        <v>888661.38660640456</v>
      </c>
      <c r="F21" s="29">
        <f>'[37]0.1'!$L$32</f>
        <v>707776.94136128109</v>
      </c>
      <c r="G21" s="47"/>
      <c r="H21" s="47"/>
    </row>
    <row r="22" spans="1:8" ht="25.5">
      <c r="A22" s="36"/>
      <c r="B22" s="38" t="s">
        <v>108</v>
      </c>
      <c r="C22" s="36" t="s">
        <v>36</v>
      </c>
      <c r="D22" s="29">
        <f>'[5]ТТЭЦ-1 НМ'!$E$31</f>
        <v>252.86007968473916</v>
      </c>
      <c r="E22" s="29">
        <f>'[37]4'!$L$24</f>
        <v>277.8</v>
      </c>
      <c r="F22" s="29">
        <f>'[37]4'!$M$24</f>
        <v>217.10333752885282</v>
      </c>
      <c r="G22" s="47"/>
      <c r="H22" s="47"/>
    </row>
    <row r="23" spans="1:8">
      <c r="A23" s="36" t="s">
        <v>109</v>
      </c>
      <c r="B23" s="38" t="s">
        <v>110</v>
      </c>
      <c r="C23" s="36" t="s">
        <v>100</v>
      </c>
      <c r="D23" s="29">
        <f>D20-D21</f>
        <v>284237.8454300001</v>
      </c>
      <c r="E23" s="29">
        <f>'[37]0.1'!$I$33</f>
        <v>256604.83922808967</v>
      </c>
      <c r="F23" s="29">
        <f>'[37]0.1'!$L$33</f>
        <v>414847.03162487433</v>
      </c>
    </row>
    <row r="24" spans="1:8">
      <c r="A24" s="36"/>
      <c r="B24" s="38" t="s">
        <v>111</v>
      </c>
      <c r="C24" s="36" t="s">
        <v>112</v>
      </c>
      <c r="D24" s="29">
        <f>'[5]ТТЭЦ-1 НМ'!$E$36</f>
        <v>119.18260111452773</v>
      </c>
      <c r="E24" s="29">
        <f>'[37]4'!$L$28</f>
        <v>130.19999999999999</v>
      </c>
      <c r="F24" s="29">
        <f>'[37]4'!$M$28</f>
        <v>167.28592494858165</v>
      </c>
    </row>
    <row r="25" spans="1:8" ht="25.5">
      <c r="A25" s="36"/>
      <c r="B25" s="9" t="s">
        <v>113</v>
      </c>
      <c r="C25" s="36" t="s">
        <v>32</v>
      </c>
      <c r="D25" s="66" t="s">
        <v>195</v>
      </c>
      <c r="E25" s="67" t="s">
        <v>195</v>
      </c>
      <c r="F25" s="41"/>
    </row>
    <row r="26" spans="1:8">
      <c r="A26" s="36" t="s">
        <v>114</v>
      </c>
      <c r="B26" s="9" t="s">
        <v>17</v>
      </c>
      <c r="C26" s="36" t="s">
        <v>100</v>
      </c>
      <c r="D26" s="41"/>
      <c r="E26" s="41"/>
      <c r="F26" s="41"/>
    </row>
    <row r="27" spans="1:8" ht="25.5">
      <c r="A27" s="36" t="s">
        <v>115</v>
      </c>
      <c r="B27" s="9" t="s">
        <v>12</v>
      </c>
      <c r="C27" s="36" t="s">
        <v>32</v>
      </c>
      <c r="D27" s="41"/>
      <c r="E27" s="41"/>
      <c r="F27" s="41"/>
    </row>
    <row r="28" spans="1:8">
      <c r="A28" s="36" t="s">
        <v>116</v>
      </c>
      <c r="B28" s="38" t="s">
        <v>117</v>
      </c>
      <c r="C28" s="36" t="s">
        <v>118</v>
      </c>
      <c r="D28" s="41"/>
      <c r="E28" s="41"/>
      <c r="F28" s="41"/>
    </row>
    <row r="29" spans="1:8" ht="25.5">
      <c r="A29" s="39" t="s">
        <v>119</v>
      </c>
      <c r="B29" s="38" t="s">
        <v>120</v>
      </c>
      <c r="C29" s="30" t="s">
        <v>121</v>
      </c>
      <c r="D29" s="41"/>
      <c r="E29" s="41"/>
      <c r="F29" s="41"/>
    </row>
    <row r="30" spans="1:8" ht="25.5">
      <c r="A30" s="36" t="s">
        <v>122</v>
      </c>
      <c r="B30" s="38" t="s">
        <v>123</v>
      </c>
      <c r="C30" s="36" t="s">
        <v>32</v>
      </c>
      <c r="D30" s="41"/>
      <c r="E30" s="41"/>
      <c r="F30" s="41"/>
    </row>
    <row r="31" spans="1:8">
      <c r="A31" s="36" t="s">
        <v>124</v>
      </c>
      <c r="B31" s="9" t="s">
        <v>125</v>
      </c>
      <c r="C31" s="36" t="s">
        <v>100</v>
      </c>
      <c r="D31" s="29">
        <f>('[6]ТТЭЦ-1'!$N$12+'[6]ТТЭЦ-1'!$V$12+'[6]ТТЭЦ-1'!$AH$12)/1000</f>
        <v>2248015.2117799995</v>
      </c>
      <c r="E31" s="41"/>
      <c r="F31" s="41"/>
      <c r="G31" s="47"/>
    </row>
    <row r="32" spans="1:8">
      <c r="A32" s="36" t="s">
        <v>126</v>
      </c>
      <c r="B32" s="38" t="s">
        <v>18</v>
      </c>
      <c r="C32" s="36" t="s">
        <v>100</v>
      </c>
      <c r="D32" s="29">
        <f>'[6]ТТЭЦ-1'!$N$12/1000</f>
        <v>1090588.1399499997</v>
      </c>
      <c r="E32" s="41"/>
      <c r="F32" s="41"/>
      <c r="G32" s="47"/>
    </row>
    <row r="33" spans="1:6">
      <c r="A33" s="36" t="s">
        <v>127</v>
      </c>
      <c r="B33" s="38" t="s">
        <v>19</v>
      </c>
      <c r="C33" s="36" t="s">
        <v>100</v>
      </c>
      <c r="D33" s="29">
        <f>'[6]ТТЭЦ-1'!$V$12/1000</f>
        <v>757608.6190699999</v>
      </c>
      <c r="E33" s="41"/>
      <c r="F33" s="41"/>
    </row>
    <row r="34" spans="1:6" ht="25.5">
      <c r="A34" s="36" t="s">
        <v>128</v>
      </c>
      <c r="B34" s="38" t="s">
        <v>20</v>
      </c>
      <c r="C34" s="36" t="s">
        <v>100</v>
      </c>
      <c r="D34" s="29">
        <f>'[6]ТТЭЦ-1'!$AH$12/1000</f>
        <v>399818.45276000001</v>
      </c>
      <c r="E34" s="41"/>
      <c r="F34" s="41"/>
    </row>
    <row r="35" spans="1:6">
      <c r="A35" s="36" t="s">
        <v>179</v>
      </c>
      <c r="B35" s="38" t="s">
        <v>180</v>
      </c>
      <c r="C35" s="36" t="s">
        <v>100</v>
      </c>
      <c r="D35" s="29">
        <v>0</v>
      </c>
      <c r="E35" s="41"/>
      <c r="F35" s="41"/>
    </row>
    <row r="36" spans="1:6">
      <c r="A36" s="36" t="s">
        <v>129</v>
      </c>
      <c r="B36" s="9" t="s">
        <v>130</v>
      </c>
      <c r="C36" s="36" t="s">
        <v>100</v>
      </c>
      <c r="D36" s="41"/>
      <c r="E36" s="41"/>
      <c r="F36" s="41"/>
    </row>
    <row r="37" spans="1:6">
      <c r="A37" s="36" t="s">
        <v>131</v>
      </c>
      <c r="B37" s="38" t="s">
        <v>21</v>
      </c>
      <c r="C37" s="36" t="s">
        <v>100</v>
      </c>
      <c r="D37" s="41"/>
      <c r="E37" s="41"/>
      <c r="F37" s="41"/>
    </row>
    <row r="38" spans="1:6">
      <c r="A38" s="36" t="s">
        <v>132</v>
      </c>
      <c r="B38" s="38" t="s">
        <v>40</v>
      </c>
      <c r="C38" s="36" t="s">
        <v>100</v>
      </c>
      <c r="D38" s="41"/>
      <c r="E38" s="41"/>
      <c r="F38" s="41"/>
    </row>
    <row r="39" spans="1:6">
      <c r="A39" s="36" t="s">
        <v>133</v>
      </c>
      <c r="B39" s="9" t="s">
        <v>134</v>
      </c>
      <c r="C39" s="36" t="s">
        <v>100</v>
      </c>
      <c r="D39" s="41"/>
      <c r="E39" s="41"/>
      <c r="F39" s="41"/>
    </row>
    <row r="40" spans="1:6">
      <c r="A40" s="36" t="s">
        <v>135</v>
      </c>
      <c r="B40" s="38" t="s">
        <v>18</v>
      </c>
      <c r="C40" s="36" t="s">
        <v>100</v>
      </c>
      <c r="D40" s="41"/>
      <c r="E40" s="41"/>
      <c r="F40" s="41"/>
    </row>
    <row r="41" spans="1:6">
      <c r="A41" s="36" t="s">
        <v>136</v>
      </c>
      <c r="B41" s="38" t="s">
        <v>19</v>
      </c>
      <c r="C41" s="36" t="s">
        <v>100</v>
      </c>
      <c r="D41" s="41"/>
      <c r="E41" s="41"/>
      <c r="F41" s="41"/>
    </row>
    <row r="42" spans="1:6" ht="25.5">
      <c r="A42" s="36" t="s">
        <v>137</v>
      </c>
      <c r="B42" s="38" t="s">
        <v>20</v>
      </c>
      <c r="C42" s="36" t="s">
        <v>100</v>
      </c>
      <c r="D42" s="41"/>
      <c r="E42" s="41"/>
      <c r="F42" s="41"/>
    </row>
    <row r="43" spans="1:6" ht="25.5">
      <c r="A43" s="36" t="s">
        <v>138</v>
      </c>
      <c r="B43" s="9" t="s">
        <v>139</v>
      </c>
      <c r="C43" s="36" t="s">
        <v>100</v>
      </c>
      <c r="D43" s="41"/>
      <c r="E43" s="41"/>
      <c r="F43" s="41"/>
    </row>
    <row r="44" spans="1:6">
      <c r="A44" s="36" t="s">
        <v>140</v>
      </c>
      <c r="B44" s="38" t="s">
        <v>18</v>
      </c>
      <c r="C44" s="36" t="s">
        <v>100</v>
      </c>
      <c r="D44" s="41"/>
      <c r="E44" s="41"/>
      <c r="F44" s="41"/>
    </row>
    <row r="45" spans="1:6">
      <c r="A45" s="36" t="s">
        <v>141</v>
      </c>
      <c r="B45" s="38" t="s">
        <v>19</v>
      </c>
      <c r="C45" s="36" t="s">
        <v>100</v>
      </c>
      <c r="D45" s="41"/>
      <c r="E45" s="41"/>
      <c r="F45" s="41"/>
    </row>
    <row r="46" spans="1:6" ht="25.5">
      <c r="A46" s="36" t="s">
        <v>142</v>
      </c>
      <c r="B46" s="38" t="s">
        <v>20</v>
      </c>
      <c r="C46" s="36" t="s">
        <v>100</v>
      </c>
      <c r="D46" s="41"/>
      <c r="E46" s="41"/>
      <c r="F46" s="41"/>
    </row>
    <row r="47" spans="1:6">
      <c r="A47" s="36" t="s">
        <v>143</v>
      </c>
      <c r="B47" s="9" t="s">
        <v>178</v>
      </c>
      <c r="C47" s="36" t="s">
        <v>100</v>
      </c>
      <c r="D47" s="52">
        <v>12200091</v>
      </c>
      <c r="E47" s="41"/>
      <c r="F47" s="41"/>
    </row>
    <row r="48" spans="1:6" ht="25.5">
      <c r="A48" s="36" t="s">
        <v>144</v>
      </c>
      <c r="B48" s="9" t="s">
        <v>177</v>
      </c>
      <c r="C48" s="36" t="s">
        <v>145</v>
      </c>
      <c r="D48" s="31">
        <f>19896480/65281414</f>
        <v>0.30478016300320948</v>
      </c>
      <c r="E48" s="41"/>
      <c r="F48" s="41"/>
    </row>
    <row r="49" spans="1:6" ht="229.5">
      <c r="A49" s="36" t="s">
        <v>146</v>
      </c>
      <c r="B49" s="9" t="s">
        <v>13</v>
      </c>
      <c r="C49" s="36" t="s">
        <v>32</v>
      </c>
      <c r="D49" s="9" t="s">
        <v>199</v>
      </c>
      <c r="E49" s="9" t="s">
        <v>198</v>
      </c>
      <c r="F49" s="9" t="s">
        <v>147</v>
      </c>
    </row>
    <row r="50" spans="1:6">
      <c r="B50" s="8"/>
    </row>
    <row r="51" spans="1:6">
      <c r="A51" s="98" t="s">
        <v>148</v>
      </c>
      <c r="B51" s="98"/>
      <c r="C51" s="98"/>
      <c r="D51" s="98"/>
      <c r="E51" s="98"/>
      <c r="F51" s="98"/>
    </row>
    <row r="52" spans="1:6">
      <c r="A52" s="98" t="s">
        <v>186</v>
      </c>
      <c r="B52" s="98"/>
      <c r="C52" s="98"/>
      <c r="D52" s="98"/>
      <c r="E52" s="98"/>
      <c r="F52" s="98"/>
    </row>
  </sheetData>
  <mergeCells count="7">
    <mergeCell ref="A51:F51"/>
    <mergeCell ref="A52:F52"/>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activeCell="H12" sqref="H12:I12"/>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175</v>
      </c>
    </row>
    <row r="2" spans="1:11">
      <c r="F2" s="27"/>
      <c r="I2" s="26" t="s">
        <v>77</v>
      </c>
    </row>
    <row r="3" spans="1:11">
      <c r="F3" s="27"/>
    </row>
    <row r="4" spans="1:11">
      <c r="A4" s="79" t="s">
        <v>41</v>
      </c>
      <c r="B4" s="97"/>
      <c r="C4" s="97"/>
      <c r="D4" s="97"/>
      <c r="E4" s="97"/>
      <c r="F4" s="97"/>
      <c r="G4" s="97"/>
      <c r="H4" s="97"/>
      <c r="I4" s="97"/>
    </row>
    <row r="5" spans="1:11">
      <c r="A5" s="79" t="str">
        <f>Титульный!$C$20</f>
        <v>Тюменская ТЭЦ-1 (БЛ 2) ДПМ</v>
      </c>
      <c r="B5" s="97"/>
      <c r="C5" s="97"/>
      <c r="D5" s="97"/>
      <c r="E5" s="97"/>
      <c r="F5" s="97"/>
      <c r="G5" s="97"/>
      <c r="H5" s="97"/>
      <c r="I5" s="97"/>
    </row>
    <row r="7" spans="1:11" s="3" customFormat="1" ht="32.25" customHeight="1">
      <c r="A7" s="101" t="s">
        <v>87</v>
      </c>
      <c r="B7" s="101" t="s">
        <v>9</v>
      </c>
      <c r="C7" s="101" t="s">
        <v>153</v>
      </c>
      <c r="D7" s="101" t="s">
        <v>173</v>
      </c>
      <c r="E7" s="101"/>
      <c r="F7" s="101" t="s">
        <v>150</v>
      </c>
      <c r="G7" s="101"/>
      <c r="H7" s="101" t="s">
        <v>151</v>
      </c>
      <c r="I7" s="101"/>
      <c r="K7" s="2"/>
    </row>
    <row r="8" spans="1:11" s="3" customFormat="1">
      <c r="A8" s="101"/>
      <c r="B8" s="101"/>
      <c r="C8" s="101"/>
      <c r="D8" s="42">
        <f>Титульный!$B$5-2</f>
        <v>2017</v>
      </c>
      <c r="E8" s="43" t="s">
        <v>68</v>
      </c>
      <c r="F8" s="42">
        <f>Титульный!$B$5-1</f>
        <v>2018</v>
      </c>
      <c r="G8" s="43" t="s">
        <v>68</v>
      </c>
      <c r="H8" s="42">
        <f>Титульный!$B$5</f>
        <v>2019</v>
      </c>
      <c r="I8" s="43" t="s">
        <v>68</v>
      </c>
      <c r="K8" s="2"/>
    </row>
    <row r="9" spans="1:11" s="3" customFormat="1">
      <c r="A9" s="101"/>
      <c r="B9" s="101"/>
      <c r="C9" s="101"/>
      <c r="D9" s="10" t="s">
        <v>22</v>
      </c>
      <c r="E9" s="10" t="s">
        <v>23</v>
      </c>
      <c r="F9" s="10" t="s">
        <v>22</v>
      </c>
      <c r="G9" s="10" t="s">
        <v>23</v>
      </c>
      <c r="H9" s="10" t="s">
        <v>22</v>
      </c>
      <c r="I9" s="10" t="s">
        <v>23</v>
      </c>
    </row>
    <row r="10" spans="1:11" ht="12.75" customHeight="1">
      <c r="A10" s="102" t="s">
        <v>170</v>
      </c>
      <c r="B10" s="103"/>
      <c r="C10" s="103"/>
      <c r="D10" s="103"/>
      <c r="E10" s="103"/>
      <c r="F10" s="103"/>
      <c r="G10" s="103"/>
      <c r="H10" s="103"/>
      <c r="I10" s="104"/>
    </row>
    <row r="11" spans="1:11" ht="12.75" customHeight="1">
      <c r="A11" s="30" t="s">
        <v>154</v>
      </c>
      <c r="B11" s="37" t="s">
        <v>155</v>
      </c>
      <c r="C11" s="36" t="s">
        <v>168</v>
      </c>
      <c r="D11" s="29">
        <f>'[7]Утв. тарифы на ЭЭ и ЭМ'!$E$24</f>
        <v>687.47</v>
      </c>
      <c r="E11" s="29">
        <f>'[7]Утв. тарифы на ЭЭ и ЭМ'!$F$24</f>
        <v>701.49</v>
      </c>
      <c r="F11" s="29">
        <f>E11</f>
        <v>701.49</v>
      </c>
      <c r="G11" s="29">
        <f>'[37]0.1'!$G$20</f>
        <v>723.94985876267231</v>
      </c>
      <c r="H11" s="105">
        <f>'[37]0.1'!$L$20</f>
        <v>583.72404464647445</v>
      </c>
      <c r="I11" s="106"/>
      <c r="K11" s="65" t="b">
        <f>ROUND([9]Лист1!$D$160,1)=ROUND(H11,1)</f>
        <v>1</v>
      </c>
    </row>
    <row r="12" spans="1:11" ht="12.75" customHeight="1">
      <c r="A12" s="30"/>
      <c r="B12" s="45" t="s">
        <v>171</v>
      </c>
      <c r="C12" s="36" t="s">
        <v>168</v>
      </c>
      <c r="D12" s="29">
        <f>('[5]ТТЭЦ-1 НМ'!$F$255+'[5]ТТЭЦ-1 НМ'!$G$255+'[5]ТТЭЦ-1 НМ'!$H$255+'[5]ТТЭЦ-1 НМ'!$J$255+'[5]ТТЭЦ-1 НМ'!$K$255+'[5]ТТЭЦ-1 НМ'!$L$255)/('[5]ТТЭЦ-1 НМ'!$F$22+'[5]ТТЭЦ-1 НМ'!$G$22+'[5]ТТЭЦ-1 НМ'!$H$22+'[5]ТТЭЦ-1 НМ'!$J$22+'[5]ТТЭЦ-1 НМ'!$K$22+'[5]ТТЭЦ-1 НМ'!$L$22)</f>
        <v>688.98006812632548</v>
      </c>
      <c r="E12" s="29">
        <f>('[5]ТТЭЦ-1 НМ'!$N$255+'[5]ТТЭЦ-1 НМ'!$O$255+'[5]ТТЭЦ-1 НМ'!$P$255+'[5]ТТЭЦ-1 НМ'!$R$255+'[5]ТТЭЦ-1 НМ'!$S$255+'[5]ТТЭЦ-1 НМ'!$T$255)/('[5]ТТЭЦ-1 НМ'!$N$22+'[5]ТТЭЦ-1 НМ'!$O$22+'[5]ТТЭЦ-1 НМ'!$P$22+'[5]ТТЭЦ-1 НМ'!$R$22+'[5]ТТЭЦ-1 НМ'!$S$22+'[5]ТТЭЦ-1 НМ'!$T$22)</f>
        <v>751.86658550315917</v>
      </c>
      <c r="F12" s="29">
        <f>'[37]2.2'!$G$170</f>
        <v>700.40903956565558</v>
      </c>
      <c r="G12" s="29">
        <f>'[37]2.1'!$G$170</f>
        <v>722.82977876267228</v>
      </c>
      <c r="H12" s="105">
        <f>'[37]2'!$G$170</f>
        <v>582.55259964647439</v>
      </c>
      <c r="I12" s="106"/>
    </row>
    <row r="13" spans="1:11" ht="12.75" customHeight="1">
      <c r="A13" s="30" t="s">
        <v>156</v>
      </c>
      <c r="B13" s="37" t="s">
        <v>157</v>
      </c>
      <c r="C13" s="36" t="s">
        <v>158</v>
      </c>
      <c r="D13" s="44"/>
      <c r="E13" s="44"/>
      <c r="F13" s="44"/>
      <c r="G13" s="44"/>
      <c r="H13" s="109"/>
      <c r="I13" s="110"/>
    </row>
    <row r="14" spans="1:11" ht="27.75" customHeight="1">
      <c r="A14" s="30" t="s">
        <v>159</v>
      </c>
      <c r="B14" s="37" t="s">
        <v>174</v>
      </c>
      <c r="C14" s="36" t="s">
        <v>47</v>
      </c>
      <c r="D14" s="105">
        <f>'ТТЭЦ-1 ДМ_П5'!D14</f>
        <v>547.34348957321345</v>
      </c>
      <c r="E14" s="106"/>
      <c r="F14" s="105">
        <f>'ТТЭЦ-1 ДМ_П5'!F14</f>
        <v>567.90720088177397</v>
      </c>
      <c r="G14" s="106"/>
      <c r="H14" s="105">
        <f>'ТТЭЦ-1 ДМ_П5'!H14</f>
        <v>710.17783881266428</v>
      </c>
      <c r="I14" s="106"/>
    </row>
    <row r="15" spans="1:11" ht="26.25" customHeight="1">
      <c r="A15" s="30" t="s">
        <v>160</v>
      </c>
      <c r="B15" s="46" t="s">
        <v>48</v>
      </c>
      <c r="C15" s="36" t="s">
        <v>47</v>
      </c>
      <c r="D15" s="29">
        <f>'ТТЭЦ-1 ДМ_П5'!D15</f>
        <v>535.04999999999995</v>
      </c>
      <c r="E15" s="29">
        <f>'ТТЭЦ-1 ДМ_П5'!E15</f>
        <v>564.42999999999995</v>
      </c>
      <c r="F15" s="29">
        <f>'ТТЭЦ-1 ДМ_П5'!F15</f>
        <v>564.42999999999995</v>
      </c>
      <c r="G15" s="29">
        <f>'ТТЭЦ-1 ДМ_П5'!G15</f>
        <v>572.35</v>
      </c>
      <c r="H15" s="105">
        <f>'ТТЭЦ-1 ДМ_П5'!H15</f>
        <v>709.87105867398736</v>
      </c>
      <c r="I15" s="108"/>
    </row>
    <row r="16" spans="1:11" ht="12.75" customHeight="1">
      <c r="A16" s="30" t="s">
        <v>161</v>
      </c>
      <c r="B16" s="46" t="s">
        <v>49</v>
      </c>
      <c r="C16" s="36" t="s">
        <v>47</v>
      </c>
      <c r="D16" s="44"/>
      <c r="E16" s="44"/>
      <c r="F16" s="44"/>
      <c r="G16" s="44"/>
      <c r="H16" s="44"/>
      <c r="I16" s="44"/>
    </row>
    <row r="17" spans="1:9" ht="12.75" customHeight="1">
      <c r="A17" s="30"/>
      <c r="B17" s="38" t="s">
        <v>50</v>
      </c>
      <c r="C17" s="36" t="s">
        <v>47</v>
      </c>
      <c r="D17" s="44"/>
      <c r="E17" s="44"/>
      <c r="F17" s="44"/>
      <c r="G17" s="44"/>
      <c r="H17" s="44"/>
      <c r="I17" s="44"/>
    </row>
    <row r="18" spans="1:9" ht="12.75" customHeight="1">
      <c r="A18" s="30"/>
      <c r="B18" s="38" t="s">
        <v>51</v>
      </c>
      <c r="C18" s="36" t="s">
        <v>47</v>
      </c>
      <c r="D18" s="44"/>
      <c r="E18" s="44"/>
      <c r="F18" s="44"/>
      <c r="G18" s="44"/>
      <c r="H18" s="44"/>
      <c r="I18" s="44"/>
    </row>
    <row r="19" spans="1:9" ht="12.75" customHeight="1">
      <c r="A19" s="30"/>
      <c r="B19" s="38" t="s">
        <v>52</v>
      </c>
      <c r="C19" s="36" t="s">
        <v>47</v>
      </c>
      <c r="D19" s="44"/>
      <c r="E19" s="44"/>
      <c r="F19" s="44"/>
      <c r="G19" s="44"/>
      <c r="H19" s="44"/>
      <c r="I19" s="44"/>
    </row>
    <row r="20" spans="1:9" ht="12.75" customHeight="1">
      <c r="A20" s="30"/>
      <c r="B20" s="38" t="s">
        <v>53</v>
      </c>
      <c r="C20" s="36" t="s">
        <v>47</v>
      </c>
      <c r="D20" s="44"/>
      <c r="E20" s="44"/>
      <c r="F20" s="44"/>
      <c r="G20" s="44"/>
      <c r="H20" s="44"/>
      <c r="I20" s="44"/>
    </row>
    <row r="21" spans="1:9" ht="12.75" customHeight="1">
      <c r="A21" s="30" t="s">
        <v>162</v>
      </c>
      <c r="B21" s="46" t="s">
        <v>54</v>
      </c>
      <c r="C21" s="36" t="s">
        <v>47</v>
      </c>
      <c r="D21" s="44"/>
      <c r="E21" s="44"/>
      <c r="F21" s="44"/>
      <c r="G21" s="44"/>
      <c r="H21" s="44"/>
      <c r="I21" s="44"/>
    </row>
    <row r="22" spans="1:9" ht="12.75" customHeight="1">
      <c r="A22" s="30" t="s">
        <v>163</v>
      </c>
      <c r="B22" s="37" t="s">
        <v>55</v>
      </c>
      <c r="C22" s="36" t="s">
        <v>32</v>
      </c>
      <c r="D22" s="44"/>
      <c r="E22" s="44"/>
      <c r="F22" s="44"/>
      <c r="G22" s="44"/>
      <c r="H22" s="44"/>
      <c r="I22" s="44"/>
    </row>
    <row r="23" spans="1:9" ht="25.5" customHeight="1">
      <c r="A23" s="30" t="s">
        <v>164</v>
      </c>
      <c r="B23" s="38" t="s">
        <v>56</v>
      </c>
      <c r="C23" s="30" t="s">
        <v>57</v>
      </c>
      <c r="D23" s="44"/>
      <c r="E23" s="44"/>
      <c r="F23" s="44"/>
      <c r="G23" s="44"/>
      <c r="H23" s="44"/>
      <c r="I23" s="44"/>
    </row>
    <row r="24" spans="1:9" ht="12.75" customHeight="1">
      <c r="A24" s="30" t="s">
        <v>165</v>
      </c>
      <c r="B24" s="46" t="s">
        <v>58</v>
      </c>
      <c r="C24" s="36" t="s">
        <v>47</v>
      </c>
      <c r="D24" s="44"/>
      <c r="E24" s="44"/>
      <c r="F24" s="44"/>
      <c r="G24" s="44"/>
      <c r="H24" s="44"/>
      <c r="I24" s="44"/>
    </row>
    <row r="25" spans="1:9" ht="12.75" customHeight="1">
      <c r="A25" s="30" t="s">
        <v>166</v>
      </c>
      <c r="B25" s="37" t="s">
        <v>59</v>
      </c>
      <c r="C25" s="36" t="s">
        <v>169</v>
      </c>
      <c r="D25" s="44"/>
      <c r="E25" s="44"/>
      <c r="F25" s="44"/>
      <c r="G25" s="44"/>
      <c r="H25" s="44"/>
      <c r="I25" s="44"/>
    </row>
    <row r="26" spans="1:9" ht="15" customHeight="1">
      <c r="A26" s="30"/>
      <c r="B26" s="38" t="s">
        <v>60</v>
      </c>
      <c r="C26" s="36" t="s">
        <v>169</v>
      </c>
      <c r="D26" s="44"/>
      <c r="E26" s="44"/>
      <c r="F26" s="44"/>
      <c r="G26" s="44"/>
      <c r="H26" s="44"/>
      <c r="I26" s="44"/>
    </row>
    <row r="27" spans="1:9">
      <c r="A27" s="30"/>
      <c r="B27" s="38" t="s">
        <v>61</v>
      </c>
      <c r="C27" s="36" t="s">
        <v>169</v>
      </c>
      <c r="D27" s="44"/>
      <c r="E27" s="44"/>
      <c r="F27" s="44"/>
      <c r="G27" s="44"/>
      <c r="H27" s="44"/>
      <c r="I27" s="44"/>
    </row>
    <row r="28" spans="1:9">
      <c r="A28" s="8"/>
      <c r="B28" s="33"/>
      <c r="C28" s="32"/>
      <c r="D28" s="33"/>
      <c r="E28" s="33"/>
      <c r="F28" s="33"/>
      <c r="G28" s="33"/>
      <c r="H28" s="33"/>
      <c r="I28" s="33"/>
    </row>
    <row r="29" spans="1:9">
      <c r="A29" s="98" t="s">
        <v>167</v>
      </c>
      <c r="B29" s="98"/>
      <c r="C29" s="98"/>
      <c r="D29" s="98"/>
      <c r="E29" s="98"/>
      <c r="F29" s="98"/>
      <c r="G29" s="98"/>
      <c r="H29" s="98"/>
      <c r="I29" s="98"/>
    </row>
    <row r="30" spans="1:9">
      <c r="A30" s="98" t="s">
        <v>172</v>
      </c>
      <c r="B30" s="98"/>
      <c r="C30" s="98"/>
      <c r="D30" s="98"/>
      <c r="E30" s="98"/>
      <c r="F30" s="98"/>
      <c r="G30" s="98"/>
      <c r="H30" s="98"/>
      <c r="I30" s="98"/>
    </row>
    <row r="31" spans="1:9">
      <c r="A31" s="98" t="s">
        <v>181</v>
      </c>
      <c r="B31" s="98"/>
      <c r="C31" s="98"/>
      <c r="D31" s="98"/>
      <c r="E31" s="98"/>
      <c r="F31" s="98"/>
      <c r="G31" s="98"/>
      <c r="H31" s="98"/>
      <c r="I31" s="98"/>
    </row>
    <row r="32" spans="1:9">
      <c r="A32" s="98" t="s">
        <v>183</v>
      </c>
      <c r="B32" s="98"/>
      <c r="C32" s="98"/>
      <c r="D32" s="98"/>
      <c r="E32" s="98"/>
      <c r="F32" s="98"/>
      <c r="G32" s="98"/>
      <c r="H32" s="98"/>
      <c r="I32" s="98"/>
    </row>
  </sheetData>
  <mergeCells count="20">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A31:I31"/>
    <mergeCell ref="A32:I32"/>
    <mergeCell ref="H15:I15"/>
    <mergeCell ref="A29:I29"/>
    <mergeCell ref="A30:I30"/>
  </mergeCells>
  <conditionalFormatting sqref="K11">
    <cfRule type="containsText" dxfId="11" priority="1" operator="containsText" text="ложь">
      <formula>NOT(ISERROR(SEARCH("ложь",K11)))</formula>
    </cfRule>
    <cfRule type="containsText" dxfId="10" priority="2" operator="containsText" text="истина">
      <formula>NOT(ISERROR(SEARCH("истина",K11)))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F49" sqref="F49"/>
      <selection pane="topRight" activeCell="F49" sqref="F49"/>
      <selection pane="bottomLeft" activeCell="F49" sqref="F49"/>
      <selection pane="bottomRight" activeCell="H49" sqref="H49"/>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176</v>
      </c>
    </row>
    <row r="2" spans="1:6">
      <c r="F2" s="34" t="s">
        <v>77</v>
      </c>
    </row>
    <row r="3" spans="1:6">
      <c r="B3" s="63"/>
    </row>
    <row r="4" spans="1:6">
      <c r="A4" s="99" t="s">
        <v>39</v>
      </c>
      <c r="B4" s="99"/>
      <c r="C4" s="99"/>
      <c r="D4" s="99"/>
      <c r="E4" s="99"/>
      <c r="F4" s="99"/>
    </row>
    <row r="5" spans="1:6">
      <c r="A5" s="99" t="str">
        <f>Титульный!$C$21</f>
        <v>Тюменская ТЭЦ-2</v>
      </c>
      <c r="B5" s="99"/>
      <c r="C5" s="99"/>
      <c r="D5" s="99"/>
      <c r="E5" s="99"/>
      <c r="F5" s="99"/>
    </row>
    <row r="6" spans="1:6">
      <c r="A6" s="35"/>
      <c r="B6" s="35"/>
      <c r="C6" s="35"/>
      <c r="D6" s="35"/>
      <c r="E6" s="35"/>
      <c r="F6" s="35"/>
    </row>
    <row r="7" spans="1:6" s="8" customFormat="1" ht="38.25">
      <c r="A7" s="100" t="s">
        <v>1</v>
      </c>
      <c r="B7" s="100" t="s">
        <v>9</v>
      </c>
      <c r="C7" s="100" t="s">
        <v>10</v>
      </c>
      <c r="D7" s="11" t="s">
        <v>149</v>
      </c>
      <c r="E7" s="11" t="s">
        <v>150</v>
      </c>
      <c r="F7" s="11" t="s">
        <v>151</v>
      </c>
    </row>
    <row r="8" spans="1:6" s="8" customFormat="1">
      <c r="A8" s="100"/>
      <c r="B8" s="100"/>
      <c r="C8" s="100"/>
      <c r="D8" s="11">
        <f>Титульный!$B$5-2</f>
        <v>2017</v>
      </c>
      <c r="E8" s="11">
        <f>Титульный!$B$5-1</f>
        <v>2018</v>
      </c>
      <c r="F8" s="11">
        <f>Титульный!$B$5</f>
        <v>2019</v>
      </c>
    </row>
    <row r="9" spans="1:6" s="8" customFormat="1">
      <c r="A9" s="100"/>
      <c r="B9" s="100"/>
      <c r="C9" s="100"/>
      <c r="D9" s="11" t="s">
        <v>68</v>
      </c>
      <c r="E9" s="11" t="s">
        <v>68</v>
      </c>
      <c r="F9" s="11" t="s">
        <v>68</v>
      </c>
    </row>
    <row r="10" spans="1:6">
      <c r="A10" s="36" t="s">
        <v>88</v>
      </c>
      <c r="B10" s="37" t="s">
        <v>33</v>
      </c>
      <c r="C10" s="36" t="s">
        <v>35</v>
      </c>
      <c r="D10" s="29">
        <f>[38]Год!$H$11</f>
        <v>755</v>
      </c>
      <c r="E10" s="29">
        <f>'[39]0.1'!$I$11</f>
        <v>755</v>
      </c>
      <c r="F10" s="29">
        <f>'[39]0.1'!$L$11</f>
        <v>755</v>
      </c>
    </row>
    <row r="11" spans="1:6" ht="38.25">
      <c r="A11" s="36" t="s">
        <v>89</v>
      </c>
      <c r="B11" s="37" t="s">
        <v>34</v>
      </c>
      <c r="C11" s="36" t="s">
        <v>35</v>
      </c>
      <c r="D11" s="29">
        <f>[38]Год!$H$12-[38]Год!$H$14</f>
        <v>710.21659262646142</v>
      </c>
      <c r="E11" s="29">
        <f>'[39]0.1'!$I$12</f>
        <v>710.30698251833337</v>
      </c>
      <c r="F11" s="29">
        <f>'[39]0.1'!$L$12</f>
        <v>709.11212042016223</v>
      </c>
    </row>
    <row r="12" spans="1:6">
      <c r="A12" s="36" t="s">
        <v>90</v>
      </c>
      <c r="B12" s="37" t="s">
        <v>91</v>
      </c>
      <c r="C12" s="36" t="s">
        <v>152</v>
      </c>
      <c r="D12" s="29">
        <f>'[5]ТТЭЦ-2'!$E$7</f>
        <v>4176.6779999999999</v>
      </c>
      <c r="E12" s="29">
        <f>'[39]0.1'!$I$13</f>
        <v>4231.9376000000002</v>
      </c>
      <c r="F12" s="29">
        <f>'[39]0.1'!$L$13</f>
        <v>4231.9376000000011</v>
      </c>
    </row>
    <row r="13" spans="1:6">
      <c r="A13" s="36" t="s">
        <v>92</v>
      </c>
      <c r="B13" s="37" t="s">
        <v>93</v>
      </c>
      <c r="C13" s="36" t="s">
        <v>152</v>
      </c>
      <c r="D13" s="29">
        <f>'[5]ТТЭЦ-2'!$E$22</f>
        <v>3784.5777640000001</v>
      </c>
      <c r="E13" s="29">
        <f>'[39]0.1'!$I$15</f>
        <v>3840.2415000000001</v>
      </c>
      <c r="F13" s="29">
        <f>'[39]0.1'!$L$15</f>
        <v>3830.3590457317882</v>
      </c>
    </row>
    <row r="14" spans="1:6">
      <c r="A14" s="36" t="s">
        <v>94</v>
      </c>
      <c r="B14" s="37" t="s">
        <v>95</v>
      </c>
      <c r="C14" s="36" t="s">
        <v>96</v>
      </c>
      <c r="D14" s="29">
        <f>'[5]ТТЭЦ-2'!$E$23</f>
        <v>2915.7759999999998</v>
      </c>
      <c r="E14" s="29">
        <f>'[39]0.1'!$I$16</f>
        <v>2802.0590000000002</v>
      </c>
      <c r="F14" s="29">
        <f>'[39]0.1'!$L$16</f>
        <v>2814.4745749999997</v>
      </c>
    </row>
    <row r="15" spans="1:6">
      <c r="A15" s="36" t="s">
        <v>97</v>
      </c>
      <c r="B15" s="37" t="s">
        <v>98</v>
      </c>
      <c r="C15" s="36" t="s">
        <v>96</v>
      </c>
      <c r="D15" s="29">
        <f>'[5]ТТЭЦ-2'!$E$26</f>
        <v>2904.0595679999997</v>
      </c>
      <c r="E15" s="29">
        <f>'[39]0.1'!$I$17</f>
        <v>2791.9110000000001</v>
      </c>
      <c r="F15" s="29">
        <f>'[39]0.1'!$L$17</f>
        <v>2803.0045749999999</v>
      </c>
    </row>
    <row r="16" spans="1:6">
      <c r="A16" s="36" t="s">
        <v>99</v>
      </c>
      <c r="B16" s="37" t="s">
        <v>11</v>
      </c>
      <c r="C16" s="36" t="s">
        <v>100</v>
      </c>
      <c r="D16" s="40"/>
      <c r="E16" s="29">
        <f>'[39]0.1'!$I$43</f>
        <v>4441344.6315975022</v>
      </c>
      <c r="F16" s="29">
        <f>'[39]0.1'!$L$43</f>
        <v>4653047.9667658973</v>
      </c>
    </row>
    <row r="17" spans="1:8">
      <c r="A17" s="36" t="s">
        <v>101</v>
      </c>
      <c r="B17" s="38" t="s">
        <v>14</v>
      </c>
      <c r="C17" s="36" t="s">
        <v>100</v>
      </c>
      <c r="D17" s="40"/>
      <c r="E17" s="29">
        <f>'[39]0.1'!$G$43</f>
        <v>2949894.094952656</v>
      </c>
      <c r="F17" s="29">
        <f>'[39]0.1'!$J$43</f>
        <v>3096581.8379418873</v>
      </c>
    </row>
    <row r="18" spans="1:8">
      <c r="A18" s="36" t="s">
        <v>102</v>
      </c>
      <c r="B18" s="38" t="s">
        <v>15</v>
      </c>
      <c r="C18" s="36" t="s">
        <v>100</v>
      </c>
      <c r="D18" s="40"/>
      <c r="E18" s="29">
        <f>'[39]0.1'!$H$43</f>
        <v>1491450.5366448462</v>
      </c>
      <c r="F18" s="29">
        <f>'[39]0.1'!$K$43</f>
        <v>1556466.1288240103</v>
      </c>
    </row>
    <row r="19" spans="1:8" ht="25.5">
      <c r="A19" s="36" t="s">
        <v>103</v>
      </c>
      <c r="B19" s="38" t="s">
        <v>16</v>
      </c>
      <c r="C19" s="36" t="s">
        <v>100</v>
      </c>
      <c r="D19" s="41"/>
      <c r="E19" s="41"/>
      <c r="F19" s="41"/>
    </row>
    <row r="20" spans="1:8">
      <c r="A20" s="36" t="s">
        <v>104</v>
      </c>
      <c r="B20" s="37" t="s">
        <v>105</v>
      </c>
      <c r="C20" s="36" t="s">
        <v>100</v>
      </c>
      <c r="D20" s="29">
        <f>'[5]ТТЭЦ-2'!$E$235</f>
        <v>4168169.7080399995</v>
      </c>
      <c r="E20" s="29">
        <f>'[39]0.1'!$I$31</f>
        <v>4203484.7655147742</v>
      </c>
      <c r="F20" s="29">
        <f>'[39]0.1'!$L$31</f>
        <v>4410562.7710970491</v>
      </c>
      <c r="G20" s="47"/>
      <c r="H20" s="47"/>
    </row>
    <row r="21" spans="1:8">
      <c r="A21" s="36" t="s">
        <v>106</v>
      </c>
      <c r="B21" s="38" t="s">
        <v>107</v>
      </c>
      <c r="C21" s="36" t="s">
        <v>100</v>
      </c>
      <c r="D21" s="29">
        <f>'[5]ТТЭЦ-2'!$E$255</f>
        <v>2805800.9306299994</v>
      </c>
      <c r="E21" s="29">
        <f>'[39]0.1'!$I$32</f>
        <v>2922051.843144937</v>
      </c>
      <c r="F21" s="29">
        <f>'[39]0.1'!$L$32</f>
        <v>3067557.8755868911</v>
      </c>
      <c r="G21" s="47"/>
      <c r="H21" s="47"/>
    </row>
    <row r="22" spans="1:8" ht="25.5">
      <c r="A22" s="36"/>
      <c r="B22" s="38" t="s">
        <v>108</v>
      </c>
      <c r="C22" s="36" t="s">
        <v>36</v>
      </c>
      <c r="D22" s="29">
        <f>'[5]ТТЭЦ-2'!$E$31</f>
        <v>260.10226509219206</v>
      </c>
      <c r="E22" s="29">
        <f>'[39]4'!$L$24</f>
        <v>271</v>
      </c>
      <c r="F22" s="29">
        <f>'[39]4'!$M$24</f>
        <v>276.59685817678053</v>
      </c>
      <c r="G22" s="47"/>
      <c r="H22" s="47"/>
    </row>
    <row r="23" spans="1:8">
      <c r="A23" s="36" t="s">
        <v>109</v>
      </c>
      <c r="B23" s="38" t="s">
        <v>110</v>
      </c>
      <c r="C23" s="36" t="s">
        <v>100</v>
      </c>
      <c r="D23" s="29">
        <f>'[5]ТТЭЦ-2'!$E$254</f>
        <v>1362368.7774100003</v>
      </c>
      <c r="E23" s="29">
        <f>'[39]0.1'!$I$33</f>
        <v>1281432.9223698373</v>
      </c>
      <c r="F23" s="29">
        <f>'[39]0.1'!$L$33</f>
        <v>1343004.895510158</v>
      </c>
    </row>
    <row r="24" spans="1:8">
      <c r="A24" s="36"/>
      <c r="B24" s="38" t="s">
        <v>111</v>
      </c>
      <c r="C24" s="36" t="s">
        <v>112</v>
      </c>
      <c r="D24" s="29">
        <f>'[5]ТТЭЦ-2'!$E$36</f>
        <v>165.69757073245682</v>
      </c>
      <c r="E24" s="29">
        <f>'[39]4'!$L$28</f>
        <v>164.4</v>
      </c>
      <c r="F24" s="29">
        <f>'[39]4'!$M$28</f>
        <v>166.41749564599758</v>
      </c>
    </row>
    <row r="25" spans="1:8" ht="25.5">
      <c r="A25" s="36"/>
      <c r="B25" s="9" t="s">
        <v>113</v>
      </c>
      <c r="C25" s="36" t="s">
        <v>32</v>
      </c>
      <c r="D25" s="66" t="s">
        <v>195</v>
      </c>
      <c r="E25" s="11" t="s">
        <v>195</v>
      </c>
      <c r="F25" s="41"/>
    </row>
    <row r="26" spans="1:8">
      <c r="A26" s="36" t="s">
        <v>114</v>
      </c>
      <c r="B26" s="9" t="s">
        <v>17</v>
      </c>
      <c r="C26" s="36" t="s">
        <v>100</v>
      </c>
      <c r="D26" s="41"/>
      <c r="E26" s="41"/>
      <c r="F26" s="41"/>
    </row>
    <row r="27" spans="1:8" ht="25.5">
      <c r="A27" s="36" t="s">
        <v>115</v>
      </c>
      <c r="B27" s="9" t="s">
        <v>12</v>
      </c>
      <c r="C27" s="36" t="s">
        <v>32</v>
      </c>
      <c r="D27" s="41"/>
      <c r="E27" s="41"/>
      <c r="F27" s="41"/>
    </row>
    <row r="28" spans="1:8">
      <c r="A28" s="36" t="s">
        <v>116</v>
      </c>
      <c r="B28" s="38" t="s">
        <v>117</v>
      </c>
      <c r="C28" s="36" t="s">
        <v>118</v>
      </c>
      <c r="D28" s="41"/>
      <c r="E28" s="41"/>
      <c r="F28" s="41"/>
    </row>
    <row r="29" spans="1:8" ht="25.5">
      <c r="A29" s="39" t="s">
        <v>119</v>
      </c>
      <c r="B29" s="38" t="s">
        <v>120</v>
      </c>
      <c r="C29" s="11" t="s">
        <v>121</v>
      </c>
      <c r="D29" s="41"/>
      <c r="E29" s="41"/>
      <c r="F29" s="41"/>
    </row>
    <row r="30" spans="1:8" ht="25.5">
      <c r="A30" s="36" t="s">
        <v>122</v>
      </c>
      <c r="B30" s="38" t="s">
        <v>123</v>
      </c>
      <c r="C30" s="36" t="s">
        <v>32</v>
      </c>
      <c r="D30" s="41"/>
      <c r="E30" s="41"/>
      <c r="F30" s="41"/>
    </row>
    <row r="31" spans="1:8">
      <c r="A31" s="36" t="s">
        <v>124</v>
      </c>
      <c r="B31" s="9" t="s">
        <v>125</v>
      </c>
      <c r="C31" s="36" t="s">
        <v>100</v>
      </c>
      <c r="D31" s="29">
        <f>'[6]ТТЭЦ-2'!$E$12/1000</f>
        <v>6032260.6542000007</v>
      </c>
      <c r="E31" s="41"/>
      <c r="F31" s="41"/>
    </row>
    <row r="32" spans="1:8">
      <c r="A32" s="36" t="s">
        <v>126</v>
      </c>
      <c r="B32" s="38" t="s">
        <v>18</v>
      </c>
      <c r="C32" s="36" t="s">
        <v>100</v>
      </c>
      <c r="D32" s="29">
        <f>'[6]ТТЭЦ-2'!$J$12/1000</f>
        <v>3443967.5529</v>
      </c>
      <c r="E32" s="41"/>
      <c r="F32" s="41"/>
    </row>
    <row r="33" spans="1:6">
      <c r="A33" s="36" t="s">
        <v>127</v>
      </c>
      <c r="B33" s="38" t="s">
        <v>19</v>
      </c>
      <c r="C33" s="36" t="s">
        <v>100</v>
      </c>
      <c r="D33" s="29">
        <f>'[6]ТТЭЦ-2'!$R$12/1000</f>
        <v>834837.36992000008</v>
      </c>
      <c r="E33" s="41"/>
      <c r="F33" s="41"/>
    </row>
    <row r="34" spans="1:6" ht="25.5">
      <c r="A34" s="36" t="s">
        <v>128</v>
      </c>
      <c r="B34" s="38" t="s">
        <v>20</v>
      </c>
      <c r="C34" s="36" t="s">
        <v>100</v>
      </c>
      <c r="D34" s="29">
        <f>'[6]ТТЭЦ-2'!$Z$12/1000</f>
        <v>1631271.3047399998</v>
      </c>
      <c r="E34" s="41"/>
      <c r="F34" s="41"/>
    </row>
    <row r="35" spans="1:6">
      <c r="A35" s="36" t="s">
        <v>179</v>
      </c>
      <c r="B35" s="38" t="s">
        <v>180</v>
      </c>
      <c r="C35" s="36" t="s">
        <v>100</v>
      </c>
      <c r="D35" s="29">
        <f>('[6]ТТЭЦ-2'!$AP$12+'[6]ТТЭЦ-2'!$AT$12+'[6]ТТЭЦ-2'!$AX$12)/1000</f>
        <v>122184.42664000002</v>
      </c>
      <c r="E35" s="41"/>
      <c r="F35" s="41"/>
    </row>
    <row r="36" spans="1:6">
      <c r="A36" s="36" t="s">
        <v>129</v>
      </c>
      <c r="B36" s="9" t="s">
        <v>130</v>
      </c>
      <c r="C36" s="36" t="s">
        <v>100</v>
      </c>
      <c r="D36" s="41"/>
      <c r="E36" s="41"/>
      <c r="F36" s="41"/>
    </row>
    <row r="37" spans="1:6">
      <c r="A37" s="36" t="s">
        <v>131</v>
      </c>
      <c r="B37" s="38" t="s">
        <v>21</v>
      </c>
      <c r="C37" s="36" t="s">
        <v>100</v>
      </c>
      <c r="D37" s="41"/>
      <c r="E37" s="41"/>
      <c r="F37" s="41"/>
    </row>
    <row r="38" spans="1:6">
      <c r="A38" s="36" t="s">
        <v>132</v>
      </c>
      <c r="B38" s="38" t="s">
        <v>40</v>
      </c>
      <c r="C38" s="36" t="s">
        <v>100</v>
      </c>
      <c r="D38" s="41"/>
      <c r="E38" s="41"/>
      <c r="F38" s="41"/>
    </row>
    <row r="39" spans="1:6">
      <c r="A39" s="36" t="s">
        <v>133</v>
      </c>
      <c r="B39" s="9" t="s">
        <v>134</v>
      </c>
      <c r="C39" s="36" t="s">
        <v>100</v>
      </c>
      <c r="D39" s="41"/>
      <c r="E39" s="41"/>
      <c r="F39" s="41"/>
    </row>
    <row r="40" spans="1:6">
      <c r="A40" s="36" t="s">
        <v>135</v>
      </c>
      <c r="B40" s="38" t="s">
        <v>18</v>
      </c>
      <c r="C40" s="36" t="s">
        <v>100</v>
      </c>
      <c r="D40" s="41"/>
      <c r="E40" s="41"/>
      <c r="F40" s="41"/>
    </row>
    <row r="41" spans="1:6">
      <c r="A41" s="36" t="s">
        <v>136</v>
      </c>
      <c r="B41" s="38" t="s">
        <v>19</v>
      </c>
      <c r="C41" s="36" t="s">
        <v>100</v>
      </c>
      <c r="D41" s="41"/>
      <c r="E41" s="41"/>
      <c r="F41" s="41"/>
    </row>
    <row r="42" spans="1:6" ht="25.5">
      <c r="A42" s="36" t="s">
        <v>137</v>
      </c>
      <c r="B42" s="38" t="s">
        <v>20</v>
      </c>
      <c r="C42" s="36" t="s">
        <v>100</v>
      </c>
      <c r="D42" s="41"/>
      <c r="E42" s="41"/>
      <c r="F42" s="41"/>
    </row>
    <row r="43" spans="1:6" ht="25.5">
      <c r="A43" s="36" t="s">
        <v>138</v>
      </c>
      <c r="B43" s="9" t="s">
        <v>139</v>
      </c>
      <c r="C43" s="36" t="s">
        <v>100</v>
      </c>
      <c r="D43" s="41"/>
      <c r="E43" s="41"/>
      <c r="F43" s="41"/>
    </row>
    <row r="44" spans="1:6">
      <c r="A44" s="36" t="s">
        <v>140</v>
      </c>
      <c r="B44" s="38" t="s">
        <v>18</v>
      </c>
      <c r="C44" s="36" t="s">
        <v>100</v>
      </c>
      <c r="D44" s="41"/>
      <c r="E44" s="41"/>
      <c r="F44" s="41"/>
    </row>
    <row r="45" spans="1:6">
      <c r="A45" s="36" t="s">
        <v>141</v>
      </c>
      <c r="B45" s="38" t="s">
        <v>19</v>
      </c>
      <c r="C45" s="36" t="s">
        <v>100</v>
      </c>
      <c r="D45" s="41"/>
      <c r="E45" s="41"/>
      <c r="F45" s="41"/>
    </row>
    <row r="46" spans="1:6" ht="25.5">
      <c r="A46" s="36" t="s">
        <v>142</v>
      </c>
      <c r="B46" s="38" t="s">
        <v>20</v>
      </c>
      <c r="C46" s="36" t="s">
        <v>100</v>
      </c>
      <c r="D46" s="41"/>
      <c r="E46" s="41"/>
      <c r="F46" s="41"/>
    </row>
    <row r="47" spans="1:6">
      <c r="A47" s="36" t="s">
        <v>143</v>
      </c>
      <c r="B47" s="9" t="s">
        <v>178</v>
      </c>
      <c r="C47" s="36" t="s">
        <v>100</v>
      </c>
      <c r="D47" s="52">
        <v>12200091</v>
      </c>
      <c r="E47" s="41"/>
      <c r="F47" s="41"/>
    </row>
    <row r="48" spans="1:6" ht="25.5">
      <c r="A48" s="36" t="s">
        <v>144</v>
      </c>
      <c r="B48" s="9" t="s">
        <v>177</v>
      </c>
      <c r="C48" s="36" t="s">
        <v>145</v>
      </c>
      <c r="D48" s="31">
        <f>19896480/65281414</f>
        <v>0.30478016300320948</v>
      </c>
      <c r="E48" s="41"/>
      <c r="F48" s="41"/>
    </row>
    <row r="49" spans="1:6" ht="229.5">
      <c r="A49" s="36" t="s">
        <v>146</v>
      </c>
      <c r="B49" s="9" t="s">
        <v>13</v>
      </c>
      <c r="C49" s="36" t="s">
        <v>32</v>
      </c>
      <c r="D49" s="9" t="s">
        <v>199</v>
      </c>
      <c r="E49" s="9" t="s">
        <v>198</v>
      </c>
      <c r="F49" s="9" t="s">
        <v>147</v>
      </c>
    </row>
    <row r="50" spans="1:6">
      <c r="B50" s="8"/>
    </row>
    <row r="51" spans="1:6">
      <c r="A51" s="98" t="s">
        <v>148</v>
      </c>
      <c r="B51" s="98"/>
      <c r="C51" s="98"/>
      <c r="D51" s="98"/>
      <c r="E51" s="98"/>
      <c r="F51" s="98"/>
    </row>
    <row r="52" spans="1:6">
      <c r="A52" s="98" t="s">
        <v>186</v>
      </c>
      <c r="B52" s="98"/>
      <c r="C52" s="98"/>
      <c r="D52" s="98"/>
      <c r="E52" s="98"/>
      <c r="F52" s="98"/>
    </row>
  </sheetData>
  <mergeCells count="7">
    <mergeCell ref="A51:F51"/>
    <mergeCell ref="A52:F52"/>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activeCell="H15" sqref="H15:I15"/>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175</v>
      </c>
    </row>
    <row r="2" spans="1:11">
      <c r="F2" s="27"/>
      <c r="I2" s="26" t="s">
        <v>77</v>
      </c>
    </row>
    <row r="3" spans="1:11">
      <c r="F3" s="27"/>
    </row>
    <row r="4" spans="1:11">
      <c r="A4" s="79" t="s">
        <v>41</v>
      </c>
      <c r="B4" s="97"/>
      <c r="C4" s="97"/>
      <c r="D4" s="97"/>
      <c r="E4" s="97"/>
      <c r="F4" s="97"/>
      <c r="G4" s="97"/>
      <c r="H4" s="97"/>
      <c r="I4" s="97"/>
    </row>
    <row r="5" spans="1:11">
      <c r="A5" s="79" t="str">
        <f>Титульный!$C$21</f>
        <v>Тюменская ТЭЦ-2</v>
      </c>
      <c r="B5" s="97"/>
      <c r="C5" s="97"/>
      <c r="D5" s="97"/>
      <c r="E5" s="97"/>
      <c r="F5" s="97"/>
      <c r="G5" s="97"/>
      <c r="H5" s="97"/>
      <c r="I5" s="97"/>
    </row>
    <row r="7" spans="1:11" s="3" customFormat="1" ht="32.25" customHeight="1">
      <c r="A7" s="101" t="s">
        <v>87</v>
      </c>
      <c r="B7" s="101" t="s">
        <v>9</v>
      </c>
      <c r="C7" s="101" t="s">
        <v>153</v>
      </c>
      <c r="D7" s="101" t="s">
        <v>173</v>
      </c>
      <c r="E7" s="101"/>
      <c r="F7" s="101" t="s">
        <v>150</v>
      </c>
      <c r="G7" s="101"/>
      <c r="H7" s="101" t="s">
        <v>151</v>
      </c>
      <c r="I7" s="101"/>
      <c r="K7" s="1"/>
    </row>
    <row r="8" spans="1:11" s="3" customFormat="1">
      <c r="A8" s="101"/>
      <c r="B8" s="101"/>
      <c r="C8" s="101"/>
      <c r="D8" s="42">
        <f>Титульный!$B$5-2</f>
        <v>2017</v>
      </c>
      <c r="E8" s="43" t="s">
        <v>68</v>
      </c>
      <c r="F8" s="42">
        <f>Титульный!$B$5-1</f>
        <v>2018</v>
      </c>
      <c r="G8" s="43" t="s">
        <v>68</v>
      </c>
      <c r="H8" s="42">
        <f>Титульный!$B$5</f>
        <v>2019</v>
      </c>
      <c r="I8" s="43" t="s">
        <v>68</v>
      </c>
      <c r="K8" s="1"/>
    </row>
    <row r="9" spans="1:11" s="3" customFormat="1">
      <c r="A9" s="101"/>
      <c r="B9" s="101"/>
      <c r="C9" s="101"/>
      <c r="D9" s="10" t="s">
        <v>22</v>
      </c>
      <c r="E9" s="10" t="s">
        <v>23</v>
      </c>
      <c r="F9" s="10" t="s">
        <v>22</v>
      </c>
      <c r="G9" s="10" t="s">
        <v>23</v>
      </c>
      <c r="H9" s="10" t="s">
        <v>22</v>
      </c>
      <c r="I9" s="10" t="s">
        <v>23</v>
      </c>
    </row>
    <row r="10" spans="1:11" ht="12.75" customHeight="1">
      <c r="A10" s="102" t="s">
        <v>170</v>
      </c>
      <c r="B10" s="103"/>
      <c r="C10" s="103"/>
      <c r="D10" s="103"/>
      <c r="E10" s="103"/>
      <c r="F10" s="103"/>
      <c r="G10" s="103"/>
      <c r="H10" s="103"/>
      <c r="I10" s="104"/>
    </row>
    <row r="11" spans="1:11" ht="12.75" customHeight="1">
      <c r="A11" s="11" t="s">
        <v>154</v>
      </c>
      <c r="B11" s="37" t="s">
        <v>155</v>
      </c>
      <c r="C11" s="36" t="s">
        <v>168</v>
      </c>
      <c r="D11" s="29">
        <f>'[7]Утв. тарифы на ЭЭ и ЭМ'!$E$25</f>
        <v>727.81</v>
      </c>
      <c r="E11" s="29">
        <f>'[7]Утв. тарифы на ЭЭ и ЭМ'!$F$25</f>
        <v>744.01</v>
      </c>
      <c r="F11" s="29">
        <f>E11</f>
        <v>744.01</v>
      </c>
      <c r="G11" s="29">
        <f>'[39]0.1'!$G$20</f>
        <v>768.15327758753085</v>
      </c>
      <c r="H11" s="105">
        <f>'[39]0.1'!$L$20</f>
        <v>808.43122040803019</v>
      </c>
      <c r="I11" s="106"/>
      <c r="K11" s="65" t="b">
        <f>ROUND([9]Лист1!$D$174,1)=ROUND(H11,1)</f>
        <v>1</v>
      </c>
    </row>
    <row r="12" spans="1:11" ht="12.75" customHeight="1">
      <c r="A12" s="11"/>
      <c r="B12" s="45" t="s">
        <v>171</v>
      </c>
      <c r="C12" s="36" t="s">
        <v>168</v>
      </c>
      <c r="D12" s="29">
        <f>('[5]ТТЭЦ-2'!$F$255+'[5]ТТЭЦ-2'!$G$255+'[5]ТТЭЦ-2'!$H$255+'[5]ТТЭЦ-2'!$J$255+'[5]ТТЭЦ-2'!$K$255+'[5]ТТЭЦ-2'!$L$255)/('[5]ТТЭЦ-2'!$F$22+'[5]ТТЭЦ-2'!$G$22+'[5]ТТЭЦ-2'!$H$22+'[5]ТТЭЦ-2'!$J$22+'[5]ТТЭЦ-2'!$K$22+'[5]ТТЭЦ-2'!$L$22)</f>
        <v>702.66412825706664</v>
      </c>
      <c r="E12" s="29">
        <f>('[5]ТТЭЦ-2'!$N$255+'[5]ТТЭЦ-2'!$O$255+'[5]ТТЭЦ-2'!$P$255+'[5]ТТЭЦ-2'!$R$255+'[5]ТТЭЦ-2'!$S$255+'[5]ТТЭЦ-2'!$T$255)/('[5]ТТЭЦ-2'!$N$22+'[5]ТТЭЦ-2'!$O$22+'[5]ТТЭЦ-2'!$P$22+'[5]ТТЭЦ-2'!$R$22+'[5]ТТЭЦ-2'!$S$22+'[5]ТТЭЦ-2'!$T$22)</f>
        <v>779.22754078290018</v>
      </c>
      <c r="F12" s="29">
        <f>'[39]2.2'!$G$170</f>
        <v>737.0390488910823</v>
      </c>
      <c r="G12" s="29">
        <f>'[39]2.1'!$G$170</f>
        <v>760.90314714450574</v>
      </c>
      <c r="H12" s="105">
        <f>'[39]2'!$G$170</f>
        <v>800.85387269506884</v>
      </c>
      <c r="I12" s="106"/>
    </row>
    <row r="13" spans="1:11" ht="12.75" customHeight="1">
      <c r="A13" s="11" t="s">
        <v>156</v>
      </c>
      <c r="B13" s="37" t="s">
        <v>157</v>
      </c>
      <c r="C13" s="36" t="s">
        <v>158</v>
      </c>
      <c r="D13" s="29">
        <f>'[7]Утв. тарифы на ЭЭ и ЭМ'!$G$25</f>
        <v>161000</v>
      </c>
      <c r="E13" s="29">
        <f>'[7]Утв. тарифы на ЭЭ и ЭМ'!$H$25</f>
        <v>168189.68</v>
      </c>
      <c r="F13" s="29">
        <f>E13</f>
        <v>168189.68</v>
      </c>
      <c r="G13" s="29">
        <f>'[39]0.1'!$H$21</f>
        <v>174977.22502987774</v>
      </c>
      <c r="H13" s="105">
        <f>'[39]0.1'!$L$21</f>
        <v>182912.55642123453</v>
      </c>
      <c r="I13" s="106"/>
      <c r="K13" s="65" t="b">
        <f>ROUND([9]Лист1!$E$174,1)=ROUND(H13,1)</f>
        <v>1</v>
      </c>
    </row>
    <row r="14" spans="1:11" ht="27.75" customHeight="1">
      <c r="A14" s="11" t="s">
        <v>159</v>
      </c>
      <c r="B14" s="37" t="s">
        <v>174</v>
      </c>
      <c r="C14" s="36" t="s">
        <v>47</v>
      </c>
      <c r="D14" s="105">
        <f>'ТТЭЦ-1 ДМ_П5'!D14</f>
        <v>547.34348957321345</v>
      </c>
      <c r="E14" s="106"/>
      <c r="F14" s="105">
        <f>'ТТЭЦ-1 ДМ_П5'!F14</f>
        <v>567.90720088177397</v>
      </c>
      <c r="G14" s="106"/>
      <c r="H14" s="105">
        <f>'ТТЭЦ-1 ДМ_П5'!H14</f>
        <v>710.17783881266428</v>
      </c>
      <c r="I14" s="106"/>
    </row>
    <row r="15" spans="1:11" ht="26.25" customHeight="1">
      <c r="A15" s="11" t="s">
        <v>160</v>
      </c>
      <c r="B15" s="46" t="s">
        <v>48</v>
      </c>
      <c r="C15" s="36" t="s">
        <v>47</v>
      </c>
      <c r="D15" s="29">
        <f>'ТТЭЦ-1 ДМ_П5'!D15</f>
        <v>535.04999999999995</v>
      </c>
      <c r="E15" s="29">
        <f>'ТТЭЦ-1 ДМ_П5'!E15</f>
        <v>564.42999999999995</v>
      </c>
      <c r="F15" s="29">
        <f>'ТТЭЦ-1 ДМ_П5'!F15</f>
        <v>564.42999999999995</v>
      </c>
      <c r="G15" s="29">
        <f>'ТТЭЦ-1 ДМ_П5'!G15</f>
        <v>572.35</v>
      </c>
      <c r="H15" s="105">
        <f>'ТТЭЦ-1 ДМ_П5'!H15</f>
        <v>709.87105867398736</v>
      </c>
      <c r="I15" s="108"/>
    </row>
    <row r="16" spans="1:11" ht="12.75" customHeight="1">
      <c r="A16" s="11" t="s">
        <v>161</v>
      </c>
      <c r="B16" s="46" t="s">
        <v>49</v>
      </c>
      <c r="C16" s="36" t="s">
        <v>47</v>
      </c>
      <c r="D16" s="44"/>
      <c r="E16" s="44"/>
      <c r="F16" s="44"/>
      <c r="G16" s="44"/>
      <c r="H16" s="44"/>
      <c r="I16" s="44"/>
    </row>
    <row r="17" spans="1:9" ht="12.75" customHeight="1">
      <c r="A17" s="11"/>
      <c r="B17" s="38" t="s">
        <v>50</v>
      </c>
      <c r="C17" s="36" t="s">
        <v>47</v>
      </c>
      <c r="D17" s="44"/>
      <c r="E17" s="44"/>
      <c r="F17" s="44"/>
      <c r="G17" s="44"/>
      <c r="H17" s="44"/>
      <c r="I17" s="44"/>
    </row>
    <row r="18" spans="1:9" ht="12.75" customHeight="1">
      <c r="A18" s="11"/>
      <c r="B18" s="38" t="s">
        <v>51</v>
      </c>
      <c r="C18" s="36" t="s">
        <v>47</v>
      </c>
      <c r="D18" s="44"/>
      <c r="E18" s="44"/>
      <c r="F18" s="44"/>
      <c r="G18" s="44"/>
      <c r="H18" s="44"/>
      <c r="I18" s="44"/>
    </row>
    <row r="19" spans="1:9" ht="12.75" customHeight="1">
      <c r="A19" s="11"/>
      <c r="B19" s="38" t="s">
        <v>52</v>
      </c>
      <c r="C19" s="36" t="s">
        <v>47</v>
      </c>
      <c r="D19" s="44"/>
      <c r="E19" s="44"/>
      <c r="F19" s="44"/>
      <c r="G19" s="44"/>
      <c r="H19" s="44"/>
      <c r="I19" s="44"/>
    </row>
    <row r="20" spans="1:9" ht="12.75" customHeight="1">
      <c r="A20" s="11"/>
      <c r="B20" s="38" t="s">
        <v>53</v>
      </c>
      <c r="C20" s="36" t="s">
        <v>47</v>
      </c>
      <c r="D20" s="44"/>
      <c r="E20" s="44"/>
      <c r="F20" s="44"/>
      <c r="G20" s="44"/>
      <c r="H20" s="44"/>
      <c r="I20" s="44"/>
    </row>
    <row r="21" spans="1:9" ht="12.75" customHeight="1">
      <c r="A21" s="11" t="s">
        <v>162</v>
      </c>
      <c r="B21" s="46" t="s">
        <v>54</v>
      </c>
      <c r="C21" s="36" t="s">
        <v>47</v>
      </c>
      <c r="D21" s="44"/>
      <c r="E21" s="44"/>
      <c r="F21" s="44"/>
      <c r="G21" s="44"/>
      <c r="H21" s="44"/>
      <c r="I21" s="44"/>
    </row>
    <row r="22" spans="1:9" ht="12.75" customHeight="1">
      <c r="A22" s="11" t="s">
        <v>163</v>
      </c>
      <c r="B22" s="37" t="s">
        <v>55</v>
      </c>
      <c r="C22" s="36" t="s">
        <v>32</v>
      </c>
      <c r="D22" s="44"/>
      <c r="E22" s="44"/>
      <c r="F22" s="44"/>
      <c r="G22" s="44"/>
      <c r="H22" s="44"/>
      <c r="I22" s="44"/>
    </row>
    <row r="23" spans="1:9" ht="25.5" customHeight="1">
      <c r="A23" s="11" t="s">
        <v>164</v>
      </c>
      <c r="B23" s="38" t="s">
        <v>56</v>
      </c>
      <c r="C23" s="11" t="s">
        <v>57</v>
      </c>
      <c r="D23" s="44"/>
      <c r="E23" s="44"/>
      <c r="F23" s="44"/>
      <c r="G23" s="44"/>
      <c r="H23" s="44"/>
      <c r="I23" s="44"/>
    </row>
    <row r="24" spans="1:9" ht="12.75" customHeight="1">
      <c r="A24" s="11" t="s">
        <v>165</v>
      </c>
      <c r="B24" s="46" t="s">
        <v>58</v>
      </c>
      <c r="C24" s="36" t="s">
        <v>47</v>
      </c>
      <c r="D24" s="44"/>
      <c r="E24" s="44"/>
      <c r="F24" s="44"/>
      <c r="G24" s="44"/>
      <c r="H24" s="44"/>
      <c r="I24" s="44"/>
    </row>
    <row r="25" spans="1:9" ht="12.75" customHeight="1">
      <c r="A25" s="11" t="s">
        <v>166</v>
      </c>
      <c r="B25" s="37" t="s">
        <v>59</v>
      </c>
      <c r="C25" s="36" t="s">
        <v>169</v>
      </c>
      <c r="D25" s="44"/>
      <c r="E25" s="44"/>
      <c r="F25" s="44"/>
      <c r="G25" s="44"/>
      <c r="H25" s="44"/>
      <c r="I25" s="44"/>
    </row>
    <row r="26" spans="1:9" ht="15" customHeight="1">
      <c r="A26" s="11"/>
      <c r="B26" s="38" t="s">
        <v>60</v>
      </c>
      <c r="C26" s="36" t="s">
        <v>169</v>
      </c>
      <c r="D26" s="29">
        <f>'[13]Утв. тарифы на ТЭ и ТН'!N28</f>
        <v>48.3</v>
      </c>
      <c r="E26" s="29">
        <f>'[13]Утв. тарифы на ТЭ и ТН'!O28</f>
        <v>48.75</v>
      </c>
      <c r="F26" s="29">
        <f>'[13]Утв. тарифы на ТЭ и ТН'!P28</f>
        <v>48.75</v>
      </c>
      <c r="G26" s="29">
        <f>'[13]Утв. тарифы на ТЭ и ТН'!Q28</f>
        <v>50.98</v>
      </c>
      <c r="H26" s="105">
        <f>[12]ТН_Тюмень!$E$24</f>
        <v>46.892196948217148</v>
      </c>
      <c r="I26" s="108"/>
    </row>
    <row r="27" spans="1:9">
      <c r="A27" s="11"/>
      <c r="B27" s="38" t="s">
        <v>61</v>
      </c>
      <c r="C27" s="36" t="s">
        <v>169</v>
      </c>
      <c r="D27" s="44"/>
      <c r="E27" s="44"/>
      <c r="F27" s="44"/>
      <c r="G27" s="44"/>
      <c r="H27" s="44"/>
      <c r="I27" s="44"/>
    </row>
    <row r="28" spans="1:9">
      <c r="A28" s="8"/>
      <c r="B28" s="33"/>
      <c r="C28" s="32"/>
      <c r="D28" s="33"/>
      <c r="E28" s="33"/>
      <c r="F28" s="33"/>
      <c r="G28" s="33"/>
      <c r="H28" s="33"/>
      <c r="I28" s="33"/>
    </row>
    <row r="29" spans="1:9">
      <c r="A29" s="98" t="s">
        <v>167</v>
      </c>
      <c r="B29" s="98"/>
      <c r="C29" s="98"/>
      <c r="D29" s="98"/>
      <c r="E29" s="98"/>
      <c r="F29" s="98"/>
      <c r="G29" s="98"/>
      <c r="H29" s="98"/>
      <c r="I29" s="98"/>
    </row>
    <row r="30" spans="1:9">
      <c r="A30" s="98" t="s">
        <v>172</v>
      </c>
      <c r="B30" s="98"/>
      <c r="C30" s="98"/>
      <c r="D30" s="98"/>
      <c r="E30" s="98"/>
      <c r="F30" s="98"/>
      <c r="G30" s="98"/>
      <c r="H30" s="98"/>
      <c r="I30" s="98"/>
    </row>
    <row r="31" spans="1:9">
      <c r="A31" s="98" t="s">
        <v>181</v>
      </c>
      <c r="B31" s="98"/>
      <c r="C31" s="98"/>
      <c r="D31" s="98"/>
      <c r="E31" s="98"/>
      <c r="F31" s="98"/>
      <c r="G31" s="98"/>
      <c r="H31" s="98"/>
      <c r="I31" s="98"/>
    </row>
    <row r="32" spans="1:9">
      <c r="A32" s="98" t="s">
        <v>183</v>
      </c>
      <c r="B32" s="98"/>
      <c r="C32" s="98"/>
      <c r="D32" s="98"/>
      <c r="E32" s="98"/>
      <c r="F32" s="98"/>
      <c r="G32" s="98"/>
      <c r="H32" s="98"/>
      <c r="I32" s="98"/>
    </row>
  </sheetData>
  <mergeCells count="21">
    <mergeCell ref="A30:I30"/>
    <mergeCell ref="A31:I31"/>
    <mergeCell ref="A32:I32"/>
    <mergeCell ref="D14:E14"/>
    <mergeCell ref="F14:G14"/>
    <mergeCell ref="H15:I15"/>
    <mergeCell ref="H26:I26"/>
    <mergeCell ref="A29:I29"/>
    <mergeCell ref="H13:I13"/>
    <mergeCell ref="H14:I14"/>
    <mergeCell ref="H11:I11"/>
    <mergeCell ref="H12:I12"/>
    <mergeCell ref="A10:I10"/>
    <mergeCell ref="A4:I4"/>
    <mergeCell ref="A7:A9"/>
    <mergeCell ref="B7:B9"/>
    <mergeCell ref="C7:C9"/>
    <mergeCell ref="D7:E7"/>
    <mergeCell ref="F7:G7"/>
    <mergeCell ref="H7:I7"/>
    <mergeCell ref="A5:I5"/>
  </mergeCells>
  <conditionalFormatting sqref="K11">
    <cfRule type="containsText" dxfId="9" priority="3" operator="containsText" text="ложь">
      <formula>NOT(ISERROR(SEARCH("ложь",K11)))</formula>
    </cfRule>
    <cfRule type="containsText" dxfId="8" priority="4" operator="containsText" text="истина">
      <formula>NOT(ISERROR(SEARCH("истина",K11)))</formula>
    </cfRule>
  </conditionalFormatting>
  <conditionalFormatting sqref="K13">
    <cfRule type="containsText" dxfId="7" priority="1" operator="containsText" text="ложь">
      <formula>NOT(ISERROR(SEARCH("ложь",K13)))</formula>
    </cfRule>
    <cfRule type="containsText" dxfId="6" priority="2" operator="containsText" text="истина">
      <formula>NOT(ISERROR(SEARCH("истина",K13)))</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CCFFFF"/>
  </sheetPr>
  <dimension ref="A1:C19"/>
  <sheetViews>
    <sheetView zoomScaleNormal="100" workbookViewId="0">
      <selection activeCell="A4" sqref="A4:B4"/>
    </sheetView>
  </sheetViews>
  <sheetFormatPr defaultRowHeight="12.75"/>
  <cols>
    <col min="1" max="1" width="50.42578125" style="12" customWidth="1"/>
    <col min="2" max="2" width="69.28515625" style="12" customWidth="1"/>
    <col min="3" max="5" width="9.140625" style="12"/>
    <col min="6" max="6" width="29.140625" style="12" customWidth="1"/>
    <col min="7" max="7" width="25.5703125" style="12" customWidth="1"/>
    <col min="8" max="9" width="3.7109375" style="12" customWidth="1"/>
    <col min="10" max="251" width="9.140625" style="12"/>
    <col min="252" max="253" width="0" style="12" hidden="1" customWidth="1"/>
    <col min="254" max="254" width="3.28515625" style="12" customWidth="1"/>
    <col min="255" max="255" width="9.28515625" style="12" customWidth="1"/>
    <col min="256" max="256" width="47" style="12" customWidth="1"/>
    <col min="257" max="257" width="64.42578125" style="12" customWidth="1"/>
    <col min="258" max="258" width="27" style="12" customWidth="1"/>
    <col min="259" max="261" width="9.140625" style="12"/>
    <col min="262" max="262" width="29.140625" style="12" customWidth="1"/>
    <col min="263" max="263" width="25.5703125" style="12" customWidth="1"/>
    <col min="264" max="265" width="3.7109375" style="12" customWidth="1"/>
    <col min="266" max="507" width="9.140625" style="12"/>
    <col min="508" max="509" width="0" style="12" hidden="1" customWidth="1"/>
    <col min="510" max="510" width="3.28515625" style="12" customWidth="1"/>
    <col min="511" max="511" width="9.28515625" style="12" customWidth="1"/>
    <col min="512" max="512" width="47" style="12" customWidth="1"/>
    <col min="513" max="513" width="64.42578125" style="12" customWidth="1"/>
    <col min="514" max="514" width="27" style="12" customWidth="1"/>
    <col min="515" max="517" width="9.140625" style="12"/>
    <col min="518" max="518" width="29.140625" style="12" customWidth="1"/>
    <col min="519" max="519" width="25.5703125" style="12" customWidth="1"/>
    <col min="520" max="521" width="3.7109375" style="12" customWidth="1"/>
    <col min="522" max="763" width="9.140625" style="12"/>
    <col min="764" max="765" width="0" style="12" hidden="1" customWidth="1"/>
    <col min="766" max="766" width="3.28515625" style="12" customWidth="1"/>
    <col min="767" max="767" width="9.28515625" style="12" customWidth="1"/>
    <col min="768" max="768" width="47" style="12" customWidth="1"/>
    <col min="769" max="769" width="64.42578125" style="12" customWidth="1"/>
    <col min="770" max="770" width="27" style="12" customWidth="1"/>
    <col min="771" max="773" width="9.140625" style="12"/>
    <col min="774" max="774" width="29.140625" style="12" customWidth="1"/>
    <col min="775" max="775" width="25.5703125" style="12" customWidth="1"/>
    <col min="776" max="777" width="3.7109375" style="12" customWidth="1"/>
    <col min="778" max="1019" width="9.140625" style="12"/>
    <col min="1020" max="1021" width="0" style="12" hidden="1" customWidth="1"/>
    <col min="1022" max="1022" width="3.28515625" style="12" customWidth="1"/>
    <col min="1023" max="1023" width="9.28515625" style="12" customWidth="1"/>
    <col min="1024" max="1024" width="47" style="12" customWidth="1"/>
    <col min="1025" max="1025" width="64.42578125" style="12" customWidth="1"/>
    <col min="1026" max="1026" width="27" style="12" customWidth="1"/>
    <col min="1027" max="1029" width="9.140625" style="12"/>
    <col min="1030" max="1030" width="29.140625" style="12" customWidth="1"/>
    <col min="1031" max="1031" width="25.5703125" style="12" customWidth="1"/>
    <col min="1032" max="1033" width="3.7109375" style="12" customWidth="1"/>
    <col min="1034" max="1275" width="9.140625" style="12"/>
    <col min="1276" max="1277" width="0" style="12" hidden="1" customWidth="1"/>
    <col min="1278" max="1278" width="3.28515625" style="12" customWidth="1"/>
    <col min="1279" max="1279" width="9.28515625" style="12" customWidth="1"/>
    <col min="1280" max="1280" width="47" style="12" customWidth="1"/>
    <col min="1281" max="1281" width="64.42578125" style="12" customWidth="1"/>
    <col min="1282" max="1282" width="27" style="12" customWidth="1"/>
    <col min="1283" max="1285" width="9.140625" style="12"/>
    <col min="1286" max="1286" width="29.140625" style="12" customWidth="1"/>
    <col min="1287" max="1287" width="25.5703125" style="12" customWidth="1"/>
    <col min="1288" max="1289" width="3.7109375" style="12" customWidth="1"/>
    <col min="1290" max="1531" width="9.140625" style="12"/>
    <col min="1532" max="1533" width="0" style="12" hidden="1" customWidth="1"/>
    <col min="1534" max="1534" width="3.28515625" style="12" customWidth="1"/>
    <col min="1535" max="1535" width="9.28515625" style="12" customWidth="1"/>
    <col min="1536" max="1536" width="47" style="12" customWidth="1"/>
    <col min="1537" max="1537" width="64.42578125" style="12" customWidth="1"/>
    <col min="1538" max="1538" width="27" style="12" customWidth="1"/>
    <col min="1539" max="1541" width="9.140625" style="12"/>
    <col min="1542" max="1542" width="29.140625" style="12" customWidth="1"/>
    <col min="1543" max="1543" width="25.5703125" style="12" customWidth="1"/>
    <col min="1544" max="1545" width="3.7109375" style="12" customWidth="1"/>
    <col min="1546" max="1787" width="9.140625" style="12"/>
    <col min="1788" max="1789" width="0" style="12" hidden="1" customWidth="1"/>
    <col min="1790" max="1790" width="3.28515625" style="12" customWidth="1"/>
    <col min="1791" max="1791" width="9.28515625" style="12" customWidth="1"/>
    <col min="1792" max="1792" width="47" style="12" customWidth="1"/>
    <col min="1793" max="1793" width="64.42578125" style="12" customWidth="1"/>
    <col min="1794" max="1794" width="27" style="12" customWidth="1"/>
    <col min="1795" max="1797" width="9.140625" style="12"/>
    <col min="1798" max="1798" width="29.140625" style="12" customWidth="1"/>
    <col min="1799" max="1799" width="25.5703125" style="12" customWidth="1"/>
    <col min="1800" max="1801" width="3.7109375" style="12" customWidth="1"/>
    <col min="1802" max="2043" width="9.140625" style="12"/>
    <col min="2044" max="2045" width="0" style="12" hidden="1" customWidth="1"/>
    <col min="2046" max="2046" width="3.28515625" style="12" customWidth="1"/>
    <col min="2047" max="2047" width="9.28515625" style="12" customWidth="1"/>
    <col min="2048" max="2048" width="47" style="12" customWidth="1"/>
    <col min="2049" max="2049" width="64.42578125" style="12" customWidth="1"/>
    <col min="2050" max="2050" width="27" style="12" customWidth="1"/>
    <col min="2051" max="2053" width="9.140625" style="12"/>
    <col min="2054" max="2054" width="29.140625" style="12" customWidth="1"/>
    <col min="2055" max="2055" width="25.5703125" style="12" customWidth="1"/>
    <col min="2056" max="2057" width="3.7109375" style="12" customWidth="1"/>
    <col min="2058" max="2299" width="9.140625" style="12"/>
    <col min="2300" max="2301" width="0" style="12" hidden="1" customWidth="1"/>
    <col min="2302" max="2302" width="3.28515625" style="12" customWidth="1"/>
    <col min="2303" max="2303" width="9.28515625" style="12" customWidth="1"/>
    <col min="2304" max="2304" width="47" style="12" customWidth="1"/>
    <col min="2305" max="2305" width="64.42578125" style="12" customWidth="1"/>
    <col min="2306" max="2306" width="27" style="12" customWidth="1"/>
    <col min="2307" max="2309" width="9.140625" style="12"/>
    <col min="2310" max="2310" width="29.140625" style="12" customWidth="1"/>
    <col min="2311" max="2311" width="25.5703125" style="12" customWidth="1"/>
    <col min="2312" max="2313" width="3.7109375" style="12" customWidth="1"/>
    <col min="2314" max="2555" width="9.140625" style="12"/>
    <col min="2556" max="2557" width="0" style="12" hidden="1" customWidth="1"/>
    <col min="2558" max="2558" width="3.28515625" style="12" customWidth="1"/>
    <col min="2559" max="2559" width="9.28515625" style="12" customWidth="1"/>
    <col min="2560" max="2560" width="47" style="12" customWidth="1"/>
    <col min="2561" max="2561" width="64.42578125" style="12" customWidth="1"/>
    <col min="2562" max="2562" width="27" style="12" customWidth="1"/>
    <col min="2563" max="2565" width="9.140625" style="12"/>
    <col min="2566" max="2566" width="29.140625" style="12" customWidth="1"/>
    <col min="2567" max="2567" width="25.5703125" style="12" customWidth="1"/>
    <col min="2568" max="2569" width="3.7109375" style="12" customWidth="1"/>
    <col min="2570" max="2811" width="9.140625" style="12"/>
    <col min="2812" max="2813" width="0" style="12" hidden="1" customWidth="1"/>
    <col min="2814" max="2814" width="3.28515625" style="12" customWidth="1"/>
    <col min="2815" max="2815" width="9.28515625" style="12" customWidth="1"/>
    <col min="2816" max="2816" width="47" style="12" customWidth="1"/>
    <col min="2817" max="2817" width="64.42578125" style="12" customWidth="1"/>
    <col min="2818" max="2818" width="27" style="12" customWidth="1"/>
    <col min="2819" max="2821" width="9.140625" style="12"/>
    <col min="2822" max="2822" width="29.140625" style="12" customWidth="1"/>
    <col min="2823" max="2823" width="25.5703125" style="12" customWidth="1"/>
    <col min="2824" max="2825" width="3.7109375" style="12" customWidth="1"/>
    <col min="2826" max="3067" width="9.140625" style="12"/>
    <col min="3068" max="3069" width="0" style="12" hidden="1" customWidth="1"/>
    <col min="3070" max="3070" width="3.28515625" style="12" customWidth="1"/>
    <col min="3071" max="3071" width="9.28515625" style="12" customWidth="1"/>
    <col min="3072" max="3072" width="47" style="12" customWidth="1"/>
    <col min="3073" max="3073" width="64.42578125" style="12" customWidth="1"/>
    <col min="3074" max="3074" width="27" style="12" customWidth="1"/>
    <col min="3075" max="3077" width="9.140625" style="12"/>
    <col min="3078" max="3078" width="29.140625" style="12" customWidth="1"/>
    <col min="3079" max="3079" width="25.5703125" style="12" customWidth="1"/>
    <col min="3080" max="3081" width="3.7109375" style="12" customWidth="1"/>
    <col min="3082" max="3323" width="9.140625" style="12"/>
    <col min="3324" max="3325" width="0" style="12" hidden="1" customWidth="1"/>
    <col min="3326" max="3326" width="3.28515625" style="12" customWidth="1"/>
    <col min="3327" max="3327" width="9.28515625" style="12" customWidth="1"/>
    <col min="3328" max="3328" width="47" style="12" customWidth="1"/>
    <col min="3329" max="3329" width="64.42578125" style="12" customWidth="1"/>
    <col min="3330" max="3330" width="27" style="12" customWidth="1"/>
    <col min="3331" max="3333" width="9.140625" style="12"/>
    <col min="3334" max="3334" width="29.140625" style="12" customWidth="1"/>
    <col min="3335" max="3335" width="25.5703125" style="12" customWidth="1"/>
    <col min="3336" max="3337" width="3.7109375" style="12" customWidth="1"/>
    <col min="3338" max="3579" width="9.140625" style="12"/>
    <col min="3580" max="3581" width="0" style="12" hidden="1" customWidth="1"/>
    <col min="3582" max="3582" width="3.28515625" style="12" customWidth="1"/>
    <col min="3583" max="3583" width="9.28515625" style="12" customWidth="1"/>
    <col min="3584" max="3584" width="47" style="12" customWidth="1"/>
    <col min="3585" max="3585" width="64.42578125" style="12" customWidth="1"/>
    <col min="3586" max="3586" width="27" style="12" customWidth="1"/>
    <col min="3587" max="3589" width="9.140625" style="12"/>
    <col min="3590" max="3590" width="29.140625" style="12" customWidth="1"/>
    <col min="3591" max="3591" width="25.5703125" style="12" customWidth="1"/>
    <col min="3592" max="3593" width="3.7109375" style="12" customWidth="1"/>
    <col min="3594" max="3835" width="9.140625" style="12"/>
    <col min="3836" max="3837" width="0" style="12" hidden="1" customWidth="1"/>
    <col min="3838" max="3838" width="3.28515625" style="12" customWidth="1"/>
    <col min="3839" max="3839" width="9.28515625" style="12" customWidth="1"/>
    <col min="3840" max="3840" width="47" style="12" customWidth="1"/>
    <col min="3841" max="3841" width="64.42578125" style="12" customWidth="1"/>
    <col min="3842" max="3842" width="27" style="12" customWidth="1"/>
    <col min="3843" max="3845" width="9.140625" style="12"/>
    <col min="3846" max="3846" width="29.140625" style="12" customWidth="1"/>
    <col min="3847" max="3847" width="25.5703125" style="12" customWidth="1"/>
    <col min="3848" max="3849" width="3.7109375" style="12" customWidth="1"/>
    <col min="3850" max="4091" width="9.140625" style="12"/>
    <col min="4092" max="4093" width="0" style="12" hidden="1" customWidth="1"/>
    <col min="4094" max="4094" width="3.28515625" style="12" customWidth="1"/>
    <col min="4095" max="4095" width="9.28515625" style="12" customWidth="1"/>
    <col min="4096" max="4096" width="47" style="12" customWidth="1"/>
    <col min="4097" max="4097" width="64.42578125" style="12" customWidth="1"/>
    <col min="4098" max="4098" width="27" style="12" customWidth="1"/>
    <col min="4099" max="4101" width="9.140625" style="12"/>
    <col min="4102" max="4102" width="29.140625" style="12" customWidth="1"/>
    <col min="4103" max="4103" width="25.5703125" style="12" customWidth="1"/>
    <col min="4104" max="4105" width="3.7109375" style="12" customWidth="1"/>
    <col min="4106" max="4347" width="9.140625" style="12"/>
    <col min="4348" max="4349" width="0" style="12" hidden="1" customWidth="1"/>
    <col min="4350" max="4350" width="3.28515625" style="12" customWidth="1"/>
    <col min="4351" max="4351" width="9.28515625" style="12" customWidth="1"/>
    <col min="4352" max="4352" width="47" style="12" customWidth="1"/>
    <col min="4353" max="4353" width="64.42578125" style="12" customWidth="1"/>
    <col min="4354" max="4354" width="27" style="12" customWidth="1"/>
    <col min="4355" max="4357" width="9.140625" style="12"/>
    <col min="4358" max="4358" width="29.140625" style="12" customWidth="1"/>
    <col min="4359" max="4359" width="25.5703125" style="12" customWidth="1"/>
    <col min="4360" max="4361" width="3.7109375" style="12" customWidth="1"/>
    <col min="4362" max="4603" width="9.140625" style="12"/>
    <col min="4604" max="4605" width="0" style="12" hidden="1" customWidth="1"/>
    <col min="4606" max="4606" width="3.28515625" style="12" customWidth="1"/>
    <col min="4607" max="4607" width="9.28515625" style="12" customWidth="1"/>
    <col min="4608" max="4608" width="47" style="12" customWidth="1"/>
    <col min="4609" max="4609" width="64.42578125" style="12" customWidth="1"/>
    <col min="4610" max="4610" width="27" style="12" customWidth="1"/>
    <col min="4611" max="4613" width="9.140625" style="12"/>
    <col min="4614" max="4614" width="29.140625" style="12" customWidth="1"/>
    <col min="4615" max="4615" width="25.5703125" style="12" customWidth="1"/>
    <col min="4616" max="4617" width="3.7109375" style="12" customWidth="1"/>
    <col min="4618" max="4859" width="9.140625" style="12"/>
    <col min="4860" max="4861" width="0" style="12" hidden="1" customWidth="1"/>
    <col min="4862" max="4862" width="3.28515625" style="12" customWidth="1"/>
    <col min="4863" max="4863" width="9.28515625" style="12" customWidth="1"/>
    <col min="4864" max="4864" width="47" style="12" customWidth="1"/>
    <col min="4865" max="4865" width="64.42578125" style="12" customWidth="1"/>
    <col min="4866" max="4866" width="27" style="12" customWidth="1"/>
    <col min="4867" max="4869" width="9.140625" style="12"/>
    <col min="4870" max="4870" width="29.140625" style="12" customWidth="1"/>
    <col min="4871" max="4871" width="25.5703125" style="12" customWidth="1"/>
    <col min="4872" max="4873" width="3.7109375" style="12" customWidth="1"/>
    <col min="4874" max="5115" width="9.140625" style="12"/>
    <col min="5116" max="5117" width="0" style="12" hidden="1" customWidth="1"/>
    <col min="5118" max="5118" width="3.28515625" style="12" customWidth="1"/>
    <col min="5119" max="5119" width="9.28515625" style="12" customWidth="1"/>
    <col min="5120" max="5120" width="47" style="12" customWidth="1"/>
    <col min="5121" max="5121" width="64.42578125" style="12" customWidth="1"/>
    <col min="5122" max="5122" width="27" style="12" customWidth="1"/>
    <col min="5123" max="5125" width="9.140625" style="12"/>
    <col min="5126" max="5126" width="29.140625" style="12" customWidth="1"/>
    <col min="5127" max="5127" width="25.5703125" style="12" customWidth="1"/>
    <col min="5128" max="5129" width="3.7109375" style="12" customWidth="1"/>
    <col min="5130" max="5371" width="9.140625" style="12"/>
    <col min="5372" max="5373" width="0" style="12" hidden="1" customWidth="1"/>
    <col min="5374" max="5374" width="3.28515625" style="12" customWidth="1"/>
    <col min="5375" max="5375" width="9.28515625" style="12" customWidth="1"/>
    <col min="5376" max="5376" width="47" style="12" customWidth="1"/>
    <col min="5377" max="5377" width="64.42578125" style="12" customWidth="1"/>
    <col min="5378" max="5378" width="27" style="12" customWidth="1"/>
    <col min="5379" max="5381" width="9.140625" style="12"/>
    <col min="5382" max="5382" width="29.140625" style="12" customWidth="1"/>
    <col min="5383" max="5383" width="25.5703125" style="12" customWidth="1"/>
    <col min="5384" max="5385" width="3.7109375" style="12" customWidth="1"/>
    <col min="5386" max="5627" width="9.140625" style="12"/>
    <col min="5628" max="5629" width="0" style="12" hidden="1" customWidth="1"/>
    <col min="5630" max="5630" width="3.28515625" style="12" customWidth="1"/>
    <col min="5631" max="5631" width="9.28515625" style="12" customWidth="1"/>
    <col min="5632" max="5632" width="47" style="12" customWidth="1"/>
    <col min="5633" max="5633" width="64.42578125" style="12" customWidth="1"/>
    <col min="5634" max="5634" width="27" style="12" customWidth="1"/>
    <col min="5635" max="5637" width="9.140625" style="12"/>
    <col min="5638" max="5638" width="29.140625" style="12" customWidth="1"/>
    <col min="5639" max="5639" width="25.5703125" style="12" customWidth="1"/>
    <col min="5640" max="5641" width="3.7109375" style="12" customWidth="1"/>
    <col min="5642" max="5883" width="9.140625" style="12"/>
    <col min="5884" max="5885" width="0" style="12" hidden="1" customWidth="1"/>
    <col min="5886" max="5886" width="3.28515625" style="12" customWidth="1"/>
    <col min="5887" max="5887" width="9.28515625" style="12" customWidth="1"/>
    <col min="5888" max="5888" width="47" style="12" customWidth="1"/>
    <col min="5889" max="5889" width="64.42578125" style="12" customWidth="1"/>
    <col min="5890" max="5890" width="27" style="12" customWidth="1"/>
    <col min="5891" max="5893" width="9.140625" style="12"/>
    <col min="5894" max="5894" width="29.140625" style="12" customWidth="1"/>
    <col min="5895" max="5895" width="25.5703125" style="12" customWidth="1"/>
    <col min="5896" max="5897" width="3.7109375" style="12" customWidth="1"/>
    <col min="5898" max="6139" width="9.140625" style="12"/>
    <col min="6140" max="6141" width="0" style="12" hidden="1" customWidth="1"/>
    <col min="6142" max="6142" width="3.28515625" style="12" customWidth="1"/>
    <col min="6143" max="6143" width="9.28515625" style="12" customWidth="1"/>
    <col min="6144" max="6144" width="47" style="12" customWidth="1"/>
    <col min="6145" max="6145" width="64.42578125" style="12" customWidth="1"/>
    <col min="6146" max="6146" width="27" style="12" customWidth="1"/>
    <col min="6147" max="6149" width="9.140625" style="12"/>
    <col min="6150" max="6150" width="29.140625" style="12" customWidth="1"/>
    <col min="6151" max="6151" width="25.5703125" style="12" customWidth="1"/>
    <col min="6152" max="6153" width="3.7109375" style="12" customWidth="1"/>
    <col min="6154" max="6395" width="9.140625" style="12"/>
    <col min="6396" max="6397" width="0" style="12" hidden="1" customWidth="1"/>
    <col min="6398" max="6398" width="3.28515625" style="12" customWidth="1"/>
    <col min="6399" max="6399" width="9.28515625" style="12" customWidth="1"/>
    <col min="6400" max="6400" width="47" style="12" customWidth="1"/>
    <col min="6401" max="6401" width="64.42578125" style="12" customWidth="1"/>
    <col min="6402" max="6402" width="27" style="12" customWidth="1"/>
    <col min="6403" max="6405" width="9.140625" style="12"/>
    <col min="6406" max="6406" width="29.140625" style="12" customWidth="1"/>
    <col min="6407" max="6407" width="25.5703125" style="12" customWidth="1"/>
    <col min="6408" max="6409" width="3.7109375" style="12" customWidth="1"/>
    <col min="6410" max="6651" width="9.140625" style="12"/>
    <col min="6652" max="6653" width="0" style="12" hidden="1" customWidth="1"/>
    <col min="6654" max="6654" width="3.28515625" style="12" customWidth="1"/>
    <col min="6655" max="6655" width="9.28515625" style="12" customWidth="1"/>
    <col min="6656" max="6656" width="47" style="12" customWidth="1"/>
    <col min="6657" max="6657" width="64.42578125" style="12" customWidth="1"/>
    <col min="6658" max="6658" width="27" style="12" customWidth="1"/>
    <col min="6659" max="6661" width="9.140625" style="12"/>
    <col min="6662" max="6662" width="29.140625" style="12" customWidth="1"/>
    <col min="6663" max="6663" width="25.5703125" style="12" customWidth="1"/>
    <col min="6664" max="6665" width="3.7109375" style="12" customWidth="1"/>
    <col min="6666" max="6907" width="9.140625" style="12"/>
    <col min="6908" max="6909" width="0" style="12" hidden="1" customWidth="1"/>
    <col min="6910" max="6910" width="3.28515625" style="12" customWidth="1"/>
    <col min="6911" max="6911" width="9.28515625" style="12" customWidth="1"/>
    <col min="6912" max="6912" width="47" style="12" customWidth="1"/>
    <col min="6913" max="6913" width="64.42578125" style="12" customWidth="1"/>
    <col min="6914" max="6914" width="27" style="12" customWidth="1"/>
    <col min="6915" max="6917" width="9.140625" style="12"/>
    <col min="6918" max="6918" width="29.140625" style="12" customWidth="1"/>
    <col min="6919" max="6919" width="25.5703125" style="12" customWidth="1"/>
    <col min="6920" max="6921" width="3.7109375" style="12" customWidth="1"/>
    <col min="6922" max="7163" width="9.140625" style="12"/>
    <col min="7164" max="7165" width="0" style="12" hidden="1" customWidth="1"/>
    <col min="7166" max="7166" width="3.28515625" style="12" customWidth="1"/>
    <col min="7167" max="7167" width="9.28515625" style="12" customWidth="1"/>
    <col min="7168" max="7168" width="47" style="12" customWidth="1"/>
    <col min="7169" max="7169" width="64.42578125" style="12" customWidth="1"/>
    <col min="7170" max="7170" width="27" style="12" customWidth="1"/>
    <col min="7171" max="7173" width="9.140625" style="12"/>
    <col min="7174" max="7174" width="29.140625" style="12" customWidth="1"/>
    <col min="7175" max="7175" width="25.5703125" style="12" customWidth="1"/>
    <col min="7176" max="7177" width="3.7109375" style="12" customWidth="1"/>
    <col min="7178" max="7419" width="9.140625" style="12"/>
    <col min="7420" max="7421" width="0" style="12" hidden="1" customWidth="1"/>
    <col min="7422" max="7422" width="3.28515625" style="12" customWidth="1"/>
    <col min="7423" max="7423" width="9.28515625" style="12" customWidth="1"/>
    <col min="7424" max="7424" width="47" style="12" customWidth="1"/>
    <col min="7425" max="7425" width="64.42578125" style="12" customWidth="1"/>
    <col min="7426" max="7426" width="27" style="12" customWidth="1"/>
    <col min="7427" max="7429" width="9.140625" style="12"/>
    <col min="7430" max="7430" width="29.140625" style="12" customWidth="1"/>
    <col min="7431" max="7431" width="25.5703125" style="12" customWidth="1"/>
    <col min="7432" max="7433" width="3.7109375" style="12" customWidth="1"/>
    <col min="7434" max="7675" width="9.140625" style="12"/>
    <col min="7676" max="7677" width="0" style="12" hidden="1" customWidth="1"/>
    <col min="7678" max="7678" width="3.28515625" style="12" customWidth="1"/>
    <col min="7679" max="7679" width="9.28515625" style="12" customWidth="1"/>
    <col min="7680" max="7680" width="47" style="12" customWidth="1"/>
    <col min="7681" max="7681" width="64.42578125" style="12" customWidth="1"/>
    <col min="7682" max="7682" width="27" style="12" customWidth="1"/>
    <col min="7683" max="7685" width="9.140625" style="12"/>
    <col min="7686" max="7686" width="29.140625" style="12" customWidth="1"/>
    <col min="7687" max="7687" width="25.5703125" style="12" customWidth="1"/>
    <col min="7688" max="7689" width="3.7109375" style="12" customWidth="1"/>
    <col min="7690" max="7931" width="9.140625" style="12"/>
    <col min="7932" max="7933" width="0" style="12" hidden="1" customWidth="1"/>
    <col min="7934" max="7934" width="3.28515625" style="12" customWidth="1"/>
    <col min="7935" max="7935" width="9.28515625" style="12" customWidth="1"/>
    <col min="7936" max="7936" width="47" style="12" customWidth="1"/>
    <col min="7937" max="7937" width="64.42578125" style="12" customWidth="1"/>
    <col min="7938" max="7938" width="27" style="12" customWidth="1"/>
    <col min="7939" max="7941" width="9.140625" style="12"/>
    <col min="7942" max="7942" width="29.140625" style="12" customWidth="1"/>
    <col min="7943" max="7943" width="25.5703125" style="12" customWidth="1"/>
    <col min="7944" max="7945" width="3.7109375" style="12" customWidth="1"/>
    <col min="7946" max="8187" width="9.140625" style="12"/>
    <col min="8188" max="8189" width="0" style="12" hidden="1" customWidth="1"/>
    <col min="8190" max="8190" width="3.28515625" style="12" customWidth="1"/>
    <col min="8191" max="8191" width="9.28515625" style="12" customWidth="1"/>
    <col min="8192" max="8192" width="47" style="12" customWidth="1"/>
    <col min="8193" max="8193" width="64.42578125" style="12" customWidth="1"/>
    <col min="8194" max="8194" width="27" style="12" customWidth="1"/>
    <col min="8195" max="8197" width="9.140625" style="12"/>
    <col min="8198" max="8198" width="29.140625" style="12" customWidth="1"/>
    <col min="8199" max="8199" width="25.5703125" style="12" customWidth="1"/>
    <col min="8200" max="8201" width="3.7109375" style="12" customWidth="1"/>
    <col min="8202" max="8443" width="9.140625" style="12"/>
    <col min="8444" max="8445" width="0" style="12" hidden="1" customWidth="1"/>
    <col min="8446" max="8446" width="3.28515625" style="12" customWidth="1"/>
    <col min="8447" max="8447" width="9.28515625" style="12" customWidth="1"/>
    <col min="8448" max="8448" width="47" style="12" customWidth="1"/>
    <col min="8449" max="8449" width="64.42578125" style="12" customWidth="1"/>
    <col min="8450" max="8450" width="27" style="12" customWidth="1"/>
    <col min="8451" max="8453" width="9.140625" style="12"/>
    <col min="8454" max="8454" width="29.140625" style="12" customWidth="1"/>
    <col min="8455" max="8455" width="25.5703125" style="12" customWidth="1"/>
    <col min="8456" max="8457" width="3.7109375" style="12" customWidth="1"/>
    <col min="8458" max="8699" width="9.140625" style="12"/>
    <col min="8700" max="8701" width="0" style="12" hidden="1" customWidth="1"/>
    <col min="8702" max="8702" width="3.28515625" style="12" customWidth="1"/>
    <col min="8703" max="8703" width="9.28515625" style="12" customWidth="1"/>
    <col min="8704" max="8704" width="47" style="12" customWidth="1"/>
    <col min="8705" max="8705" width="64.42578125" style="12" customWidth="1"/>
    <col min="8706" max="8706" width="27" style="12" customWidth="1"/>
    <col min="8707" max="8709" width="9.140625" style="12"/>
    <col min="8710" max="8710" width="29.140625" style="12" customWidth="1"/>
    <col min="8711" max="8711" width="25.5703125" style="12" customWidth="1"/>
    <col min="8712" max="8713" width="3.7109375" style="12" customWidth="1"/>
    <col min="8714" max="8955" width="9.140625" style="12"/>
    <col min="8956" max="8957" width="0" style="12" hidden="1" customWidth="1"/>
    <col min="8958" max="8958" width="3.28515625" style="12" customWidth="1"/>
    <col min="8959" max="8959" width="9.28515625" style="12" customWidth="1"/>
    <col min="8960" max="8960" width="47" style="12" customWidth="1"/>
    <col min="8961" max="8961" width="64.42578125" style="12" customWidth="1"/>
    <col min="8962" max="8962" width="27" style="12" customWidth="1"/>
    <col min="8963" max="8965" width="9.140625" style="12"/>
    <col min="8966" max="8966" width="29.140625" style="12" customWidth="1"/>
    <col min="8967" max="8967" width="25.5703125" style="12" customWidth="1"/>
    <col min="8968" max="8969" width="3.7109375" style="12" customWidth="1"/>
    <col min="8970" max="9211" width="9.140625" style="12"/>
    <col min="9212" max="9213" width="0" style="12" hidden="1" customWidth="1"/>
    <col min="9214" max="9214" width="3.28515625" style="12" customWidth="1"/>
    <col min="9215" max="9215" width="9.28515625" style="12" customWidth="1"/>
    <col min="9216" max="9216" width="47" style="12" customWidth="1"/>
    <col min="9217" max="9217" width="64.42578125" style="12" customWidth="1"/>
    <col min="9218" max="9218" width="27" style="12" customWidth="1"/>
    <col min="9219" max="9221" width="9.140625" style="12"/>
    <col min="9222" max="9222" width="29.140625" style="12" customWidth="1"/>
    <col min="9223" max="9223" width="25.5703125" style="12" customWidth="1"/>
    <col min="9224" max="9225" width="3.7109375" style="12" customWidth="1"/>
    <col min="9226" max="9467" width="9.140625" style="12"/>
    <col min="9468" max="9469" width="0" style="12" hidden="1" customWidth="1"/>
    <col min="9470" max="9470" width="3.28515625" style="12" customWidth="1"/>
    <col min="9471" max="9471" width="9.28515625" style="12" customWidth="1"/>
    <col min="9472" max="9472" width="47" style="12" customWidth="1"/>
    <col min="9473" max="9473" width="64.42578125" style="12" customWidth="1"/>
    <col min="9474" max="9474" width="27" style="12" customWidth="1"/>
    <col min="9475" max="9477" width="9.140625" style="12"/>
    <col min="9478" max="9478" width="29.140625" style="12" customWidth="1"/>
    <col min="9479" max="9479" width="25.5703125" style="12" customWidth="1"/>
    <col min="9480" max="9481" width="3.7109375" style="12" customWidth="1"/>
    <col min="9482" max="9723" width="9.140625" style="12"/>
    <col min="9724" max="9725" width="0" style="12" hidden="1" customWidth="1"/>
    <col min="9726" max="9726" width="3.28515625" style="12" customWidth="1"/>
    <col min="9727" max="9727" width="9.28515625" style="12" customWidth="1"/>
    <col min="9728" max="9728" width="47" style="12" customWidth="1"/>
    <col min="9729" max="9729" width="64.42578125" style="12" customWidth="1"/>
    <col min="9730" max="9730" width="27" style="12" customWidth="1"/>
    <col min="9731" max="9733" width="9.140625" style="12"/>
    <col min="9734" max="9734" width="29.140625" style="12" customWidth="1"/>
    <col min="9735" max="9735" width="25.5703125" style="12" customWidth="1"/>
    <col min="9736" max="9737" width="3.7109375" style="12" customWidth="1"/>
    <col min="9738" max="9979" width="9.140625" style="12"/>
    <col min="9980" max="9981" width="0" style="12" hidden="1" customWidth="1"/>
    <col min="9982" max="9982" width="3.28515625" style="12" customWidth="1"/>
    <col min="9983" max="9983" width="9.28515625" style="12" customWidth="1"/>
    <col min="9984" max="9984" width="47" style="12" customWidth="1"/>
    <col min="9985" max="9985" width="64.42578125" style="12" customWidth="1"/>
    <col min="9986" max="9986" width="27" style="12" customWidth="1"/>
    <col min="9987" max="9989" width="9.140625" style="12"/>
    <col min="9990" max="9990" width="29.140625" style="12" customWidth="1"/>
    <col min="9991" max="9991" width="25.5703125" style="12" customWidth="1"/>
    <col min="9992" max="9993" width="3.7109375" style="12" customWidth="1"/>
    <col min="9994" max="10235" width="9.140625" style="12"/>
    <col min="10236" max="10237" width="0" style="12" hidden="1" customWidth="1"/>
    <col min="10238" max="10238" width="3.28515625" style="12" customWidth="1"/>
    <col min="10239" max="10239" width="9.28515625" style="12" customWidth="1"/>
    <col min="10240" max="10240" width="47" style="12" customWidth="1"/>
    <col min="10241" max="10241" width="64.42578125" style="12" customWidth="1"/>
    <col min="10242" max="10242" width="27" style="12" customWidth="1"/>
    <col min="10243" max="10245" width="9.140625" style="12"/>
    <col min="10246" max="10246" width="29.140625" style="12" customWidth="1"/>
    <col min="10247" max="10247" width="25.5703125" style="12" customWidth="1"/>
    <col min="10248" max="10249" width="3.7109375" style="12" customWidth="1"/>
    <col min="10250" max="10491" width="9.140625" style="12"/>
    <col min="10492" max="10493" width="0" style="12" hidden="1" customWidth="1"/>
    <col min="10494" max="10494" width="3.28515625" style="12" customWidth="1"/>
    <col min="10495" max="10495" width="9.28515625" style="12" customWidth="1"/>
    <col min="10496" max="10496" width="47" style="12" customWidth="1"/>
    <col min="10497" max="10497" width="64.42578125" style="12" customWidth="1"/>
    <col min="10498" max="10498" width="27" style="12" customWidth="1"/>
    <col min="10499" max="10501" width="9.140625" style="12"/>
    <col min="10502" max="10502" width="29.140625" style="12" customWidth="1"/>
    <col min="10503" max="10503" width="25.5703125" style="12" customWidth="1"/>
    <col min="10504" max="10505" width="3.7109375" style="12" customWidth="1"/>
    <col min="10506" max="10747" width="9.140625" style="12"/>
    <col min="10748" max="10749" width="0" style="12" hidden="1" customWidth="1"/>
    <col min="10750" max="10750" width="3.28515625" style="12" customWidth="1"/>
    <col min="10751" max="10751" width="9.28515625" style="12" customWidth="1"/>
    <col min="10752" max="10752" width="47" style="12" customWidth="1"/>
    <col min="10753" max="10753" width="64.42578125" style="12" customWidth="1"/>
    <col min="10754" max="10754" width="27" style="12" customWidth="1"/>
    <col min="10755" max="10757" width="9.140625" style="12"/>
    <col min="10758" max="10758" width="29.140625" style="12" customWidth="1"/>
    <col min="10759" max="10759" width="25.5703125" style="12" customWidth="1"/>
    <col min="10760" max="10761" width="3.7109375" style="12" customWidth="1"/>
    <col min="10762" max="11003" width="9.140625" style="12"/>
    <col min="11004" max="11005" width="0" style="12" hidden="1" customWidth="1"/>
    <col min="11006" max="11006" width="3.28515625" style="12" customWidth="1"/>
    <col min="11007" max="11007" width="9.28515625" style="12" customWidth="1"/>
    <col min="11008" max="11008" width="47" style="12" customWidth="1"/>
    <col min="11009" max="11009" width="64.42578125" style="12" customWidth="1"/>
    <col min="11010" max="11010" width="27" style="12" customWidth="1"/>
    <col min="11011" max="11013" width="9.140625" style="12"/>
    <col min="11014" max="11014" width="29.140625" style="12" customWidth="1"/>
    <col min="11015" max="11015" width="25.5703125" style="12" customWidth="1"/>
    <col min="11016" max="11017" width="3.7109375" style="12" customWidth="1"/>
    <col min="11018" max="11259" width="9.140625" style="12"/>
    <col min="11260" max="11261" width="0" style="12" hidden="1" customWidth="1"/>
    <col min="11262" max="11262" width="3.28515625" style="12" customWidth="1"/>
    <col min="11263" max="11263" width="9.28515625" style="12" customWidth="1"/>
    <col min="11264" max="11264" width="47" style="12" customWidth="1"/>
    <col min="11265" max="11265" width="64.42578125" style="12" customWidth="1"/>
    <col min="11266" max="11266" width="27" style="12" customWidth="1"/>
    <col min="11267" max="11269" width="9.140625" style="12"/>
    <col min="11270" max="11270" width="29.140625" style="12" customWidth="1"/>
    <col min="11271" max="11271" width="25.5703125" style="12" customWidth="1"/>
    <col min="11272" max="11273" width="3.7109375" style="12" customWidth="1"/>
    <col min="11274" max="11515" width="9.140625" style="12"/>
    <col min="11516" max="11517" width="0" style="12" hidden="1" customWidth="1"/>
    <col min="11518" max="11518" width="3.28515625" style="12" customWidth="1"/>
    <col min="11519" max="11519" width="9.28515625" style="12" customWidth="1"/>
    <col min="11520" max="11520" width="47" style="12" customWidth="1"/>
    <col min="11521" max="11521" width="64.42578125" style="12" customWidth="1"/>
    <col min="11522" max="11522" width="27" style="12" customWidth="1"/>
    <col min="11523" max="11525" width="9.140625" style="12"/>
    <col min="11526" max="11526" width="29.140625" style="12" customWidth="1"/>
    <col min="11527" max="11527" width="25.5703125" style="12" customWidth="1"/>
    <col min="11528" max="11529" width="3.7109375" style="12" customWidth="1"/>
    <col min="11530" max="11771" width="9.140625" style="12"/>
    <col min="11772" max="11773" width="0" style="12" hidden="1" customWidth="1"/>
    <col min="11774" max="11774" width="3.28515625" style="12" customWidth="1"/>
    <col min="11775" max="11775" width="9.28515625" style="12" customWidth="1"/>
    <col min="11776" max="11776" width="47" style="12" customWidth="1"/>
    <col min="11777" max="11777" width="64.42578125" style="12" customWidth="1"/>
    <col min="11778" max="11778" width="27" style="12" customWidth="1"/>
    <col min="11779" max="11781" width="9.140625" style="12"/>
    <col min="11782" max="11782" width="29.140625" style="12" customWidth="1"/>
    <col min="11783" max="11783" width="25.5703125" style="12" customWidth="1"/>
    <col min="11784" max="11785" width="3.7109375" style="12" customWidth="1"/>
    <col min="11786" max="12027" width="9.140625" style="12"/>
    <col min="12028" max="12029" width="0" style="12" hidden="1" customWidth="1"/>
    <col min="12030" max="12030" width="3.28515625" style="12" customWidth="1"/>
    <col min="12031" max="12031" width="9.28515625" style="12" customWidth="1"/>
    <col min="12032" max="12032" width="47" style="12" customWidth="1"/>
    <col min="12033" max="12033" width="64.42578125" style="12" customWidth="1"/>
    <col min="12034" max="12034" width="27" style="12" customWidth="1"/>
    <col min="12035" max="12037" width="9.140625" style="12"/>
    <col min="12038" max="12038" width="29.140625" style="12" customWidth="1"/>
    <col min="12039" max="12039" width="25.5703125" style="12" customWidth="1"/>
    <col min="12040" max="12041" width="3.7109375" style="12" customWidth="1"/>
    <col min="12042" max="12283" width="9.140625" style="12"/>
    <col min="12284" max="12285" width="0" style="12" hidden="1" customWidth="1"/>
    <col min="12286" max="12286" width="3.28515625" style="12" customWidth="1"/>
    <col min="12287" max="12287" width="9.28515625" style="12" customWidth="1"/>
    <col min="12288" max="12288" width="47" style="12" customWidth="1"/>
    <col min="12289" max="12289" width="64.42578125" style="12" customWidth="1"/>
    <col min="12290" max="12290" width="27" style="12" customWidth="1"/>
    <col min="12291" max="12293" width="9.140625" style="12"/>
    <col min="12294" max="12294" width="29.140625" style="12" customWidth="1"/>
    <col min="12295" max="12295" width="25.5703125" style="12" customWidth="1"/>
    <col min="12296" max="12297" width="3.7109375" style="12" customWidth="1"/>
    <col min="12298" max="12539" width="9.140625" style="12"/>
    <col min="12540" max="12541" width="0" style="12" hidden="1" customWidth="1"/>
    <col min="12542" max="12542" width="3.28515625" style="12" customWidth="1"/>
    <col min="12543" max="12543" width="9.28515625" style="12" customWidth="1"/>
    <col min="12544" max="12544" width="47" style="12" customWidth="1"/>
    <col min="12545" max="12545" width="64.42578125" style="12" customWidth="1"/>
    <col min="12546" max="12546" width="27" style="12" customWidth="1"/>
    <col min="12547" max="12549" width="9.140625" style="12"/>
    <col min="12550" max="12550" width="29.140625" style="12" customWidth="1"/>
    <col min="12551" max="12551" width="25.5703125" style="12" customWidth="1"/>
    <col min="12552" max="12553" width="3.7109375" style="12" customWidth="1"/>
    <col min="12554" max="12795" width="9.140625" style="12"/>
    <col min="12796" max="12797" width="0" style="12" hidden="1" customWidth="1"/>
    <col min="12798" max="12798" width="3.28515625" style="12" customWidth="1"/>
    <col min="12799" max="12799" width="9.28515625" style="12" customWidth="1"/>
    <col min="12800" max="12800" width="47" style="12" customWidth="1"/>
    <col min="12801" max="12801" width="64.42578125" style="12" customWidth="1"/>
    <col min="12802" max="12802" width="27" style="12" customWidth="1"/>
    <col min="12803" max="12805" width="9.140625" style="12"/>
    <col min="12806" max="12806" width="29.140625" style="12" customWidth="1"/>
    <col min="12807" max="12807" width="25.5703125" style="12" customWidth="1"/>
    <col min="12808" max="12809" width="3.7109375" style="12" customWidth="1"/>
    <col min="12810" max="13051" width="9.140625" style="12"/>
    <col min="13052" max="13053" width="0" style="12" hidden="1" customWidth="1"/>
    <col min="13054" max="13054" width="3.28515625" style="12" customWidth="1"/>
    <col min="13055" max="13055" width="9.28515625" style="12" customWidth="1"/>
    <col min="13056" max="13056" width="47" style="12" customWidth="1"/>
    <col min="13057" max="13057" width="64.42578125" style="12" customWidth="1"/>
    <col min="13058" max="13058" width="27" style="12" customWidth="1"/>
    <col min="13059" max="13061" width="9.140625" style="12"/>
    <col min="13062" max="13062" width="29.140625" style="12" customWidth="1"/>
    <col min="13063" max="13063" width="25.5703125" style="12" customWidth="1"/>
    <col min="13064" max="13065" width="3.7109375" style="12" customWidth="1"/>
    <col min="13066" max="13307" width="9.140625" style="12"/>
    <col min="13308" max="13309" width="0" style="12" hidden="1" customWidth="1"/>
    <col min="13310" max="13310" width="3.28515625" style="12" customWidth="1"/>
    <col min="13311" max="13311" width="9.28515625" style="12" customWidth="1"/>
    <col min="13312" max="13312" width="47" style="12" customWidth="1"/>
    <col min="13313" max="13313" width="64.42578125" style="12" customWidth="1"/>
    <col min="13314" max="13314" width="27" style="12" customWidth="1"/>
    <col min="13315" max="13317" width="9.140625" style="12"/>
    <col min="13318" max="13318" width="29.140625" style="12" customWidth="1"/>
    <col min="13319" max="13319" width="25.5703125" style="12" customWidth="1"/>
    <col min="13320" max="13321" width="3.7109375" style="12" customWidth="1"/>
    <col min="13322" max="13563" width="9.140625" style="12"/>
    <col min="13564" max="13565" width="0" style="12" hidden="1" customWidth="1"/>
    <col min="13566" max="13566" width="3.28515625" style="12" customWidth="1"/>
    <col min="13567" max="13567" width="9.28515625" style="12" customWidth="1"/>
    <col min="13568" max="13568" width="47" style="12" customWidth="1"/>
    <col min="13569" max="13569" width="64.42578125" style="12" customWidth="1"/>
    <col min="13570" max="13570" width="27" style="12" customWidth="1"/>
    <col min="13571" max="13573" width="9.140625" style="12"/>
    <col min="13574" max="13574" width="29.140625" style="12" customWidth="1"/>
    <col min="13575" max="13575" width="25.5703125" style="12" customWidth="1"/>
    <col min="13576" max="13577" width="3.7109375" style="12" customWidth="1"/>
    <col min="13578" max="13819" width="9.140625" style="12"/>
    <col min="13820" max="13821" width="0" style="12" hidden="1" customWidth="1"/>
    <col min="13822" max="13822" width="3.28515625" style="12" customWidth="1"/>
    <col min="13823" max="13823" width="9.28515625" style="12" customWidth="1"/>
    <col min="13824" max="13824" width="47" style="12" customWidth="1"/>
    <col min="13825" max="13825" width="64.42578125" style="12" customWidth="1"/>
    <col min="13826" max="13826" width="27" style="12" customWidth="1"/>
    <col min="13827" max="13829" width="9.140625" style="12"/>
    <col min="13830" max="13830" width="29.140625" style="12" customWidth="1"/>
    <col min="13831" max="13831" width="25.5703125" style="12" customWidth="1"/>
    <col min="13832" max="13833" width="3.7109375" style="12" customWidth="1"/>
    <col min="13834" max="14075" width="9.140625" style="12"/>
    <col min="14076" max="14077" width="0" style="12" hidden="1" customWidth="1"/>
    <col min="14078" max="14078" width="3.28515625" style="12" customWidth="1"/>
    <col min="14079" max="14079" width="9.28515625" style="12" customWidth="1"/>
    <col min="14080" max="14080" width="47" style="12" customWidth="1"/>
    <col min="14081" max="14081" width="64.42578125" style="12" customWidth="1"/>
    <col min="14082" max="14082" width="27" style="12" customWidth="1"/>
    <col min="14083" max="14085" width="9.140625" style="12"/>
    <col min="14086" max="14086" width="29.140625" style="12" customWidth="1"/>
    <col min="14087" max="14087" width="25.5703125" style="12" customWidth="1"/>
    <col min="14088" max="14089" width="3.7109375" style="12" customWidth="1"/>
    <col min="14090" max="14331" width="9.140625" style="12"/>
    <col min="14332" max="14333" width="0" style="12" hidden="1" customWidth="1"/>
    <col min="14334" max="14334" width="3.28515625" style="12" customWidth="1"/>
    <col min="14335" max="14335" width="9.28515625" style="12" customWidth="1"/>
    <col min="14336" max="14336" width="47" style="12" customWidth="1"/>
    <col min="14337" max="14337" width="64.42578125" style="12" customWidth="1"/>
    <col min="14338" max="14338" width="27" style="12" customWidth="1"/>
    <col min="14339" max="14341" width="9.140625" style="12"/>
    <col min="14342" max="14342" width="29.140625" style="12" customWidth="1"/>
    <col min="14343" max="14343" width="25.5703125" style="12" customWidth="1"/>
    <col min="14344" max="14345" width="3.7109375" style="12" customWidth="1"/>
    <col min="14346" max="14587" width="9.140625" style="12"/>
    <col min="14588" max="14589" width="0" style="12" hidden="1" customWidth="1"/>
    <col min="14590" max="14590" width="3.28515625" style="12" customWidth="1"/>
    <col min="14591" max="14591" width="9.28515625" style="12" customWidth="1"/>
    <col min="14592" max="14592" width="47" style="12" customWidth="1"/>
    <col min="14593" max="14593" width="64.42578125" style="12" customWidth="1"/>
    <col min="14594" max="14594" width="27" style="12" customWidth="1"/>
    <col min="14595" max="14597" width="9.140625" style="12"/>
    <col min="14598" max="14598" width="29.140625" style="12" customWidth="1"/>
    <col min="14599" max="14599" width="25.5703125" style="12" customWidth="1"/>
    <col min="14600" max="14601" width="3.7109375" style="12" customWidth="1"/>
    <col min="14602" max="14843" width="9.140625" style="12"/>
    <col min="14844" max="14845" width="0" style="12" hidden="1" customWidth="1"/>
    <col min="14846" max="14846" width="3.28515625" style="12" customWidth="1"/>
    <col min="14847" max="14847" width="9.28515625" style="12" customWidth="1"/>
    <col min="14848" max="14848" width="47" style="12" customWidth="1"/>
    <col min="14849" max="14849" width="64.42578125" style="12" customWidth="1"/>
    <col min="14850" max="14850" width="27" style="12" customWidth="1"/>
    <col min="14851" max="14853" width="9.140625" style="12"/>
    <col min="14854" max="14854" width="29.140625" style="12" customWidth="1"/>
    <col min="14855" max="14855" width="25.5703125" style="12" customWidth="1"/>
    <col min="14856" max="14857" width="3.7109375" style="12" customWidth="1"/>
    <col min="14858" max="15099" width="9.140625" style="12"/>
    <col min="15100" max="15101" width="0" style="12" hidden="1" customWidth="1"/>
    <col min="15102" max="15102" width="3.28515625" style="12" customWidth="1"/>
    <col min="15103" max="15103" width="9.28515625" style="12" customWidth="1"/>
    <col min="15104" max="15104" width="47" style="12" customWidth="1"/>
    <col min="15105" max="15105" width="64.42578125" style="12" customWidth="1"/>
    <col min="15106" max="15106" width="27" style="12" customWidth="1"/>
    <col min="15107" max="15109" width="9.140625" style="12"/>
    <col min="15110" max="15110" width="29.140625" style="12" customWidth="1"/>
    <col min="15111" max="15111" width="25.5703125" style="12" customWidth="1"/>
    <col min="15112" max="15113" width="3.7109375" style="12" customWidth="1"/>
    <col min="15114" max="15355" width="9.140625" style="12"/>
    <col min="15356" max="15357" width="0" style="12" hidden="1" customWidth="1"/>
    <col min="15358" max="15358" width="3.28515625" style="12" customWidth="1"/>
    <col min="15359" max="15359" width="9.28515625" style="12" customWidth="1"/>
    <col min="15360" max="15360" width="47" style="12" customWidth="1"/>
    <col min="15361" max="15361" width="64.42578125" style="12" customWidth="1"/>
    <col min="15362" max="15362" width="27" style="12" customWidth="1"/>
    <col min="15363" max="15365" width="9.140625" style="12"/>
    <col min="15366" max="15366" width="29.140625" style="12" customWidth="1"/>
    <col min="15367" max="15367" width="25.5703125" style="12" customWidth="1"/>
    <col min="15368" max="15369" width="3.7109375" style="12" customWidth="1"/>
    <col min="15370" max="15611" width="9.140625" style="12"/>
    <col min="15612" max="15613" width="0" style="12" hidden="1" customWidth="1"/>
    <col min="15614" max="15614" width="3.28515625" style="12" customWidth="1"/>
    <col min="15615" max="15615" width="9.28515625" style="12" customWidth="1"/>
    <col min="15616" max="15616" width="47" style="12" customWidth="1"/>
    <col min="15617" max="15617" width="64.42578125" style="12" customWidth="1"/>
    <col min="15618" max="15618" width="27" style="12" customWidth="1"/>
    <col min="15619" max="15621" width="9.140625" style="12"/>
    <col min="15622" max="15622" width="29.140625" style="12" customWidth="1"/>
    <col min="15623" max="15623" width="25.5703125" style="12" customWidth="1"/>
    <col min="15624" max="15625" width="3.7109375" style="12" customWidth="1"/>
    <col min="15626" max="15867" width="9.140625" style="12"/>
    <col min="15868" max="15869" width="0" style="12" hidden="1" customWidth="1"/>
    <col min="15870" max="15870" width="3.28515625" style="12" customWidth="1"/>
    <col min="15871" max="15871" width="9.28515625" style="12" customWidth="1"/>
    <col min="15872" max="15872" width="47" style="12" customWidth="1"/>
    <col min="15873" max="15873" width="64.42578125" style="12" customWidth="1"/>
    <col min="15874" max="15874" width="27" style="12" customWidth="1"/>
    <col min="15875" max="15877" width="9.140625" style="12"/>
    <col min="15878" max="15878" width="29.140625" style="12" customWidth="1"/>
    <col min="15879" max="15879" width="25.5703125" style="12" customWidth="1"/>
    <col min="15880" max="15881" width="3.7109375" style="12" customWidth="1"/>
    <col min="15882" max="16123" width="9.140625" style="12"/>
    <col min="16124" max="16125" width="0" style="12" hidden="1" customWidth="1"/>
    <col min="16126" max="16126" width="3.28515625" style="12" customWidth="1"/>
    <col min="16127" max="16127" width="9.28515625" style="12" customWidth="1"/>
    <col min="16128" max="16128" width="47" style="12" customWidth="1"/>
    <col min="16129" max="16129" width="64.42578125" style="12" customWidth="1"/>
    <col min="16130" max="16130" width="27" style="12" customWidth="1"/>
    <col min="16131" max="16133" width="9.140625" style="12"/>
    <col min="16134" max="16134" width="29.140625" style="12" customWidth="1"/>
    <col min="16135" max="16135" width="25.5703125" style="12" customWidth="1"/>
    <col min="16136" max="16137" width="3.7109375" style="12" customWidth="1"/>
    <col min="16138" max="16384" width="9.140625" style="12"/>
  </cols>
  <sheetData>
    <row r="1" spans="1:3">
      <c r="B1" s="26" t="s">
        <v>83</v>
      </c>
      <c r="C1" s="7"/>
    </row>
    <row r="2" spans="1:3">
      <c r="B2" s="26" t="s">
        <v>84</v>
      </c>
      <c r="C2" s="7"/>
    </row>
    <row r="3" spans="1:3">
      <c r="B3" s="26"/>
      <c r="C3" s="7"/>
    </row>
    <row r="4" spans="1:3">
      <c r="A4" s="97" t="s">
        <v>38</v>
      </c>
      <c r="B4" s="97"/>
    </row>
    <row r="5" spans="1:3">
      <c r="A5" s="25"/>
      <c r="B5" s="25"/>
    </row>
    <row r="6" spans="1:3">
      <c r="A6" s="25"/>
      <c r="B6" s="25"/>
    </row>
    <row r="7" spans="1:3">
      <c r="A7" s="15" t="s">
        <v>78</v>
      </c>
      <c r="B7" s="15" t="s">
        <v>191</v>
      </c>
    </row>
    <row r="8" spans="1:3">
      <c r="A8" s="15" t="s">
        <v>79</v>
      </c>
      <c r="B8" s="15" t="s">
        <v>192</v>
      </c>
    </row>
    <row r="9" spans="1:3" ht="25.5">
      <c r="A9" s="15" t="s">
        <v>80</v>
      </c>
      <c r="B9" s="68" t="s">
        <v>193</v>
      </c>
    </row>
    <row r="10" spans="1:3" ht="25.5">
      <c r="A10" s="15" t="s">
        <v>4</v>
      </c>
      <c r="B10" s="68" t="s">
        <v>193</v>
      </c>
    </row>
    <row r="11" spans="1:3">
      <c r="A11" s="15" t="s">
        <v>2</v>
      </c>
      <c r="B11" s="15" t="s">
        <v>5</v>
      </c>
    </row>
    <row r="12" spans="1:3">
      <c r="A12" s="15" t="s">
        <v>3</v>
      </c>
      <c r="B12" s="69">
        <v>997150001</v>
      </c>
    </row>
    <row r="13" spans="1:3">
      <c r="A13" s="15" t="s">
        <v>85</v>
      </c>
      <c r="B13" s="15" t="s">
        <v>6</v>
      </c>
    </row>
    <row r="14" spans="1:3">
      <c r="A14" s="15" t="s">
        <v>81</v>
      </c>
      <c r="B14" s="15" t="s">
        <v>7</v>
      </c>
    </row>
    <row r="15" spans="1:3" ht="51">
      <c r="A15" s="15" t="s">
        <v>86</v>
      </c>
      <c r="B15" s="28" t="s">
        <v>194</v>
      </c>
    </row>
    <row r="16" spans="1:3">
      <c r="A16" s="15" t="s">
        <v>82</v>
      </c>
      <c r="B16" s="15" t="s">
        <v>8</v>
      </c>
    </row>
    <row r="17" spans="1:2">
      <c r="A17" s="25"/>
      <c r="B17" s="25"/>
    </row>
    <row r="18" spans="1:2">
      <c r="A18" s="25"/>
      <c r="B18" s="25"/>
    </row>
    <row r="19" spans="1:2">
      <c r="A19" s="25"/>
      <c r="B19" s="25"/>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formula1>10</formula1>
      <formula2>12</formula2>
    </dataValidation>
  </dataValidations>
  <hyperlinks>
    <hyperlink ref="B14" r:id="rId1" display="mailto:fortum@fortum.ru?subject=fortum%40fortum.ru"/>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9" activePane="bottomRight" state="frozen"/>
      <selection activeCell="D49" sqref="D49:F49"/>
      <selection pane="topRight" activeCell="D49" sqref="D49:F49"/>
      <selection pane="bottomLeft" activeCell="D49" sqref="D49:F49"/>
      <selection pane="bottomRight" activeCell="F24" sqref="F24"/>
    </sheetView>
  </sheetViews>
  <sheetFormatPr defaultRowHeight="12.75"/>
  <cols>
    <col min="1" max="1" width="6.7109375" style="32" customWidth="1"/>
    <col min="2" max="2" width="56.42578125" style="33" customWidth="1"/>
    <col min="3" max="3" width="12.7109375" style="32" customWidth="1"/>
    <col min="4" max="6" width="23.5703125" style="33" customWidth="1"/>
    <col min="7" max="7" width="11.7109375" style="33" bestFit="1" customWidth="1"/>
    <col min="8" max="8" width="15.4257812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176</v>
      </c>
    </row>
    <row r="2" spans="1:6">
      <c r="F2" s="34" t="s">
        <v>77</v>
      </c>
    </row>
    <row r="3" spans="1:6">
      <c r="B3" s="63"/>
    </row>
    <row r="4" spans="1:6">
      <c r="A4" s="99" t="s">
        <v>39</v>
      </c>
      <c r="B4" s="99"/>
      <c r="C4" s="99"/>
      <c r="D4" s="99"/>
      <c r="E4" s="99"/>
      <c r="F4" s="99"/>
    </row>
    <row r="5" spans="1:6">
      <c r="A5" s="99" t="str">
        <f>Титульный!$C$22</f>
        <v>Няганская ГРЭС (БЛ 1) ДПМ</v>
      </c>
      <c r="B5" s="99"/>
      <c r="C5" s="99"/>
      <c r="D5" s="99"/>
      <c r="E5" s="99"/>
      <c r="F5" s="99"/>
    </row>
    <row r="6" spans="1:6">
      <c r="A6" s="35"/>
      <c r="B6" s="35"/>
      <c r="C6" s="35"/>
      <c r="D6" s="35"/>
      <c r="E6" s="35"/>
      <c r="F6" s="35"/>
    </row>
    <row r="7" spans="1:6" s="8" customFormat="1" ht="38.25">
      <c r="A7" s="100" t="s">
        <v>1</v>
      </c>
      <c r="B7" s="100" t="s">
        <v>9</v>
      </c>
      <c r="C7" s="100" t="s">
        <v>10</v>
      </c>
      <c r="D7" s="30" t="s">
        <v>149</v>
      </c>
      <c r="E7" s="30" t="s">
        <v>150</v>
      </c>
      <c r="F7" s="30" t="s">
        <v>151</v>
      </c>
    </row>
    <row r="8" spans="1:6" s="8" customFormat="1">
      <c r="A8" s="100"/>
      <c r="B8" s="100"/>
      <c r="C8" s="100"/>
      <c r="D8" s="30">
        <f>Титульный!$B$5-2</f>
        <v>2017</v>
      </c>
      <c r="E8" s="30">
        <f>Титульный!$B$5-1</f>
        <v>2018</v>
      </c>
      <c r="F8" s="30">
        <f>Титульный!$B$5</f>
        <v>2019</v>
      </c>
    </row>
    <row r="9" spans="1:6" s="8" customFormat="1">
      <c r="A9" s="100"/>
      <c r="B9" s="100"/>
      <c r="C9" s="100"/>
      <c r="D9" s="30" t="s">
        <v>68</v>
      </c>
      <c r="E9" s="30" t="s">
        <v>68</v>
      </c>
      <c r="F9" s="30" t="s">
        <v>68</v>
      </c>
    </row>
    <row r="10" spans="1:6">
      <c r="A10" s="36" t="s">
        <v>88</v>
      </c>
      <c r="B10" s="37" t="s">
        <v>33</v>
      </c>
      <c r="C10" s="36" t="s">
        <v>35</v>
      </c>
      <c r="D10" s="29">
        <f>[40]Год!$H$11</f>
        <v>453.19999999999987</v>
      </c>
      <c r="E10" s="29">
        <f>'[41]0.1'!$I$11</f>
        <v>453.19999999999987</v>
      </c>
      <c r="F10" s="29">
        <f>'[41]0.1'!$L$11</f>
        <v>453.19999999999987</v>
      </c>
    </row>
    <row r="11" spans="1:6" ht="38.25">
      <c r="A11" s="36" t="s">
        <v>89</v>
      </c>
      <c r="B11" s="37" t="s">
        <v>34</v>
      </c>
      <c r="C11" s="36" t="s">
        <v>35</v>
      </c>
      <c r="D11" s="29">
        <f>[40]Год!$H$12-[40]Год!$H$14</f>
        <v>438.31050126550321</v>
      </c>
      <c r="E11" s="29">
        <f>'[41]0.1'!$I$12</f>
        <v>440.33074709551448</v>
      </c>
      <c r="F11" s="29">
        <f>'[41]0.1'!$L$12</f>
        <v>441.72819071488993</v>
      </c>
    </row>
    <row r="12" spans="1:6">
      <c r="A12" s="36" t="s">
        <v>90</v>
      </c>
      <c r="B12" s="37" t="s">
        <v>91</v>
      </c>
      <c r="C12" s="36" t="s">
        <v>152</v>
      </c>
      <c r="D12" s="29">
        <f>'[5]НГРЭС Б1'!$E$7</f>
        <v>3012.8850000000007</v>
      </c>
      <c r="E12" s="29">
        <f>'[41]0.1'!$I$13</f>
        <v>3227.9681</v>
      </c>
      <c r="F12" s="29">
        <f>'[41]0.1'!$L$13</f>
        <v>3227.9678999999996</v>
      </c>
    </row>
    <row r="13" spans="1:6">
      <c r="A13" s="36" t="s">
        <v>92</v>
      </c>
      <c r="B13" s="37" t="s">
        <v>93</v>
      </c>
      <c r="C13" s="36" t="s">
        <v>152</v>
      </c>
      <c r="D13" s="29">
        <f>'[5]НГРЭС Б1'!$E$22</f>
        <v>2955.463337000001</v>
      </c>
      <c r="E13" s="29">
        <f>'[41]0.1'!$I$15</f>
        <v>3168.8906999999999</v>
      </c>
      <c r="F13" s="29">
        <f>'[41]0.1'!$L$15</f>
        <v>3165.9323258800414</v>
      </c>
    </row>
    <row r="14" spans="1:6">
      <c r="A14" s="36" t="s">
        <v>94</v>
      </c>
      <c r="B14" s="37" t="s">
        <v>95</v>
      </c>
      <c r="C14" s="36" t="s">
        <v>96</v>
      </c>
      <c r="D14" s="29">
        <f>'[5]НГРЭС Б1'!$E$23</f>
        <v>37.174000000000007</v>
      </c>
      <c r="E14" s="29">
        <f>'[41]0.1'!$I$16</f>
        <v>15.649999999999999</v>
      </c>
      <c r="F14" s="29">
        <f>'[41]0.1'!$L$16</f>
        <v>37.174000000000007</v>
      </c>
    </row>
    <row r="15" spans="1:6">
      <c r="A15" s="36" t="s">
        <v>97</v>
      </c>
      <c r="B15" s="37" t="s">
        <v>98</v>
      </c>
      <c r="C15" s="36" t="s">
        <v>96</v>
      </c>
      <c r="D15" s="29">
        <f>'[5]НГРЭС Б1'!$E$26</f>
        <v>0</v>
      </c>
      <c r="E15" s="29">
        <f>'[41]0.1'!$I$17</f>
        <v>0</v>
      </c>
      <c r="F15" s="29">
        <f>'[41]0.1'!$L$17</f>
        <v>0</v>
      </c>
    </row>
    <row r="16" spans="1:6">
      <c r="A16" s="36" t="s">
        <v>99</v>
      </c>
      <c r="B16" s="37" t="s">
        <v>11</v>
      </c>
      <c r="C16" s="36" t="s">
        <v>100</v>
      </c>
      <c r="D16" s="40"/>
      <c r="E16" s="29">
        <f>'[41]0.1'!$I$43</f>
        <v>1625693.2201450311</v>
      </c>
      <c r="F16" s="29">
        <f>'[41]0.1'!$L$43</f>
        <v>1675882.719553601</v>
      </c>
    </row>
    <row r="17" spans="1:8">
      <c r="A17" s="36" t="s">
        <v>101</v>
      </c>
      <c r="B17" s="38" t="s">
        <v>14</v>
      </c>
      <c r="C17" s="36" t="s">
        <v>100</v>
      </c>
      <c r="D17" s="40"/>
      <c r="E17" s="29">
        <f>'[41]0.1'!$G$43</f>
        <v>1625693.2201450311</v>
      </c>
      <c r="F17" s="29">
        <f>'[41]0.1'!$J$43</f>
        <v>1675882.719553601</v>
      </c>
    </row>
    <row r="18" spans="1:8">
      <c r="A18" s="36" t="s">
        <v>102</v>
      </c>
      <c r="B18" s="38" t="s">
        <v>15</v>
      </c>
      <c r="C18" s="36" t="s">
        <v>100</v>
      </c>
      <c r="D18" s="40"/>
      <c r="E18" s="29">
        <f>'[41]0.1'!$H$43</f>
        <v>0</v>
      </c>
      <c r="F18" s="29">
        <f>'[41]0.1'!$K$43</f>
        <v>0</v>
      </c>
    </row>
    <row r="19" spans="1:8" ht="25.5">
      <c r="A19" s="36" t="s">
        <v>103</v>
      </c>
      <c r="B19" s="38" t="s">
        <v>16</v>
      </c>
      <c r="C19" s="36" t="s">
        <v>100</v>
      </c>
      <c r="D19" s="41"/>
      <c r="E19" s="41"/>
      <c r="F19" s="41"/>
    </row>
    <row r="20" spans="1:8">
      <c r="A20" s="36" t="s">
        <v>104</v>
      </c>
      <c r="B20" s="37" t="s">
        <v>105</v>
      </c>
      <c r="C20" s="36" t="s">
        <v>100</v>
      </c>
      <c r="D20" s="29">
        <f>'[5]НГРЭС Б1'!$E$235</f>
        <v>1466234.62678</v>
      </c>
      <c r="E20" s="29">
        <f>'[41]0.1'!$I$31</f>
        <v>1627721.4258249267</v>
      </c>
      <c r="F20" s="29">
        <f>'[41]0.1'!$L$31</f>
        <v>1685844.1740645824</v>
      </c>
      <c r="G20" s="47"/>
      <c r="H20" s="47"/>
    </row>
    <row r="21" spans="1:8">
      <c r="A21" s="36" t="s">
        <v>106</v>
      </c>
      <c r="B21" s="38" t="s">
        <v>107</v>
      </c>
      <c r="C21" s="36" t="s">
        <v>100</v>
      </c>
      <c r="D21" s="29">
        <f>'[5]НГРЭС Б1'!$E$255</f>
        <v>1466234.62678</v>
      </c>
      <c r="E21" s="29">
        <f>'[41]0.1'!$I$32</f>
        <v>1622143.8090497749</v>
      </c>
      <c r="F21" s="29">
        <f>'[41]0.1'!$L$32</f>
        <v>1672174.0039601102</v>
      </c>
      <c r="G21" s="47"/>
      <c r="H21" s="47"/>
    </row>
    <row r="22" spans="1:8" ht="25.5">
      <c r="A22" s="36"/>
      <c r="B22" s="38" t="s">
        <v>108</v>
      </c>
      <c r="C22" s="36" t="s">
        <v>36</v>
      </c>
      <c r="D22" s="29">
        <f>'[5]НГРЭС Б1'!$E$31</f>
        <v>212.71634362764769</v>
      </c>
      <c r="E22" s="29">
        <f>'[41]4'!$L$24</f>
        <v>218.1</v>
      </c>
      <c r="F22" s="29">
        <f>'[41]4'!$M$24</f>
        <v>218.00674745672606</v>
      </c>
      <c r="G22" s="47"/>
      <c r="H22" s="47"/>
    </row>
    <row r="23" spans="1:8">
      <c r="A23" s="36" t="s">
        <v>109</v>
      </c>
      <c r="B23" s="38" t="s">
        <v>110</v>
      </c>
      <c r="C23" s="36" t="s">
        <v>100</v>
      </c>
      <c r="D23" s="29">
        <f>D20-D21</f>
        <v>0</v>
      </c>
      <c r="E23" s="29">
        <f>'[41]0.1'!$I$33</f>
        <v>5577.6167751518078</v>
      </c>
      <c r="F23" s="29">
        <f>'[41]0.1'!$L$33</f>
        <v>13670.170104472199</v>
      </c>
    </row>
    <row r="24" spans="1:8">
      <c r="A24" s="36"/>
      <c r="B24" s="38" t="s">
        <v>111</v>
      </c>
      <c r="C24" s="36" t="s">
        <v>112</v>
      </c>
      <c r="D24" s="29">
        <f>'[5]НГРЭС Б1'!$E$36</f>
        <v>150.3739172539947</v>
      </c>
      <c r="E24" s="29">
        <f>'[41]4'!$L$28</f>
        <v>152.30000000000001</v>
      </c>
      <c r="F24" s="29">
        <f>'[41]4'!$M$28</f>
        <v>152.50173528916113</v>
      </c>
    </row>
    <row r="25" spans="1:8" ht="25.5">
      <c r="A25" s="36"/>
      <c r="B25" s="9" t="s">
        <v>113</v>
      </c>
      <c r="C25" s="36" t="s">
        <v>32</v>
      </c>
      <c r="D25" s="30" t="s">
        <v>195</v>
      </c>
      <c r="E25" s="67" t="s">
        <v>195</v>
      </c>
      <c r="F25" s="41"/>
    </row>
    <row r="26" spans="1:8">
      <c r="A26" s="36" t="s">
        <v>114</v>
      </c>
      <c r="B26" s="9" t="s">
        <v>17</v>
      </c>
      <c r="C26" s="36" t="s">
        <v>100</v>
      </c>
      <c r="D26" s="41"/>
      <c r="E26" s="41"/>
      <c r="F26" s="41"/>
    </row>
    <row r="27" spans="1:8" ht="25.5">
      <c r="A27" s="36" t="s">
        <v>115</v>
      </c>
      <c r="B27" s="9" t="s">
        <v>12</v>
      </c>
      <c r="C27" s="36" t="s">
        <v>32</v>
      </c>
      <c r="D27" s="41"/>
      <c r="E27" s="41"/>
      <c r="F27" s="41"/>
    </row>
    <row r="28" spans="1:8">
      <c r="A28" s="36" t="s">
        <v>116</v>
      </c>
      <c r="B28" s="38" t="s">
        <v>117</v>
      </c>
      <c r="C28" s="36" t="s">
        <v>118</v>
      </c>
      <c r="D28" s="41"/>
      <c r="E28" s="41"/>
      <c r="F28" s="41"/>
    </row>
    <row r="29" spans="1:8" ht="25.5">
      <c r="A29" s="39" t="s">
        <v>119</v>
      </c>
      <c r="B29" s="38" t="s">
        <v>120</v>
      </c>
      <c r="C29" s="30" t="s">
        <v>121</v>
      </c>
      <c r="D29" s="41"/>
      <c r="E29" s="41"/>
      <c r="F29" s="41"/>
    </row>
    <row r="30" spans="1:8" ht="25.5">
      <c r="A30" s="36" t="s">
        <v>122</v>
      </c>
      <c r="B30" s="38" t="s">
        <v>123</v>
      </c>
      <c r="C30" s="36" t="s">
        <v>32</v>
      </c>
      <c r="D30" s="41"/>
      <c r="E30" s="41"/>
      <c r="F30" s="41"/>
    </row>
    <row r="31" spans="1:8">
      <c r="A31" s="36" t="s">
        <v>124</v>
      </c>
      <c r="B31" s="9" t="s">
        <v>125</v>
      </c>
      <c r="C31" s="36" t="s">
        <v>100</v>
      </c>
      <c r="D31" s="29">
        <f>D32+D33+D34</f>
        <v>3844352.0365999998</v>
      </c>
      <c r="E31" s="41"/>
      <c r="F31" s="41"/>
      <c r="G31" s="47"/>
    </row>
    <row r="32" spans="1:8">
      <c r="A32" s="36" t="s">
        <v>126</v>
      </c>
      <c r="B32" s="38" t="s">
        <v>18</v>
      </c>
      <c r="C32" s="36" t="s">
        <v>100</v>
      </c>
      <c r="D32" s="29">
        <f>1707091443.55/1000</f>
        <v>1707091.44355</v>
      </c>
      <c r="E32" s="41"/>
      <c r="F32" s="41"/>
      <c r="G32" s="47"/>
    </row>
    <row r="33" spans="1:6">
      <c r="A33" s="36" t="s">
        <v>127</v>
      </c>
      <c r="B33" s="38" t="s">
        <v>19</v>
      </c>
      <c r="C33" s="36" t="s">
        <v>100</v>
      </c>
      <c r="D33" s="29">
        <f>2137260593.05/1000</f>
        <v>2137260.5930499998</v>
      </c>
      <c r="E33" s="41"/>
      <c r="F33" s="41"/>
    </row>
    <row r="34" spans="1:6" ht="25.5">
      <c r="A34" s="36" t="s">
        <v>128</v>
      </c>
      <c r="B34" s="38" t="s">
        <v>20</v>
      </c>
      <c r="C34" s="36" t="s">
        <v>100</v>
      </c>
      <c r="D34" s="29">
        <v>0</v>
      </c>
      <c r="E34" s="41"/>
      <c r="F34" s="41"/>
    </row>
    <row r="35" spans="1:6">
      <c r="A35" s="36" t="s">
        <v>179</v>
      </c>
      <c r="B35" s="38" t="s">
        <v>180</v>
      </c>
      <c r="C35" s="36" t="s">
        <v>100</v>
      </c>
      <c r="D35" s="29">
        <v>0</v>
      </c>
      <c r="E35" s="41"/>
      <c r="F35" s="41"/>
    </row>
    <row r="36" spans="1:6">
      <c r="A36" s="36" t="s">
        <v>129</v>
      </c>
      <c r="B36" s="9" t="s">
        <v>130</v>
      </c>
      <c r="C36" s="36" t="s">
        <v>100</v>
      </c>
      <c r="D36" s="41"/>
      <c r="E36" s="41"/>
      <c r="F36" s="41"/>
    </row>
    <row r="37" spans="1:6">
      <c r="A37" s="36" t="s">
        <v>131</v>
      </c>
      <c r="B37" s="38" t="s">
        <v>21</v>
      </c>
      <c r="C37" s="36" t="s">
        <v>100</v>
      </c>
      <c r="D37" s="41"/>
      <c r="E37" s="41"/>
      <c r="F37" s="41"/>
    </row>
    <row r="38" spans="1:6">
      <c r="A38" s="36" t="s">
        <v>132</v>
      </c>
      <c r="B38" s="38" t="s">
        <v>40</v>
      </c>
      <c r="C38" s="36" t="s">
        <v>100</v>
      </c>
      <c r="D38" s="41"/>
      <c r="E38" s="41"/>
      <c r="F38" s="41"/>
    </row>
    <row r="39" spans="1:6">
      <c r="A39" s="36" t="s">
        <v>133</v>
      </c>
      <c r="B39" s="9" t="s">
        <v>134</v>
      </c>
      <c r="C39" s="36" t="s">
        <v>100</v>
      </c>
      <c r="D39" s="41"/>
      <c r="E39" s="41"/>
      <c r="F39" s="41"/>
    </row>
    <row r="40" spans="1:6">
      <c r="A40" s="36" t="s">
        <v>135</v>
      </c>
      <c r="B40" s="38" t="s">
        <v>18</v>
      </c>
      <c r="C40" s="36" t="s">
        <v>100</v>
      </c>
      <c r="D40" s="41"/>
      <c r="E40" s="41"/>
      <c r="F40" s="41"/>
    </row>
    <row r="41" spans="1:6">
      <c r="A41" s="36" t="s">
        <v>136</v>
      </c>
      <c r="B41" s="38" t="s">
        <v>19</v>
      </c>
      <c r="C41" s="36" t="s">
        <v>100</v>
      </c>
      <c r="D41" s="41"/>
      <c r="E41" s="41"/>
      <c r="F41" s="41"/>
    </row>
    <row r="42" spans="1:6" ht="25.5">
      <c r="A42" s="36" t="s">
        <v>137</v>
      </c>
      <c r="B42" s="38" t="s">
        <v>20</v>
      </c>
      <c r="C42" s="36" t="s">
        <v>100</v>
      </c>
      <c r="D42" s="41"/>
      <c r="E42" s="41"/>
      <c r="F42" s="41"/>
    </row>
    <row r="43" spans="1:6" ht="25.5">
      <c r="A43" s="36" t="s">
        <v>138</v>
      </c>
      <c r="B43" s="9" t="s">
        <v>139</v>
      </c>
      <c r="C43" s="36" t="s">
        <v>100</v>
      </c>
      <c r="D43" s="41"/>
      <c r="E43" s="41"/>
      <c r="F43" s="41"/>
    </row>
    <row r="44" spans="1:6">
      <c r="A44" s="36" t="s">
        <v>140</v>
      </c>
      <c r="B44" s="38" t="s">
        <v>18</v>
      </c>
      <c r="C44" s="36" t="s">
        <v>100</v>
      </c>
      <c r="D44" s="41"/>
      <c r="E44" s="41"/>
      <c r="F44" s="41"/>
    </row>
    <row r="45" spans="1:6">
      <c r="A45" s="36" t="s">
        <v>141</v>
      </c>
      <c r="B45" s="38" t="s">
        <v>19</v>
      </c>
      <c r="C45" s="36" t="s">
        <v>100</v>
      </c>
      <c r="D45" s="41"/>
      <c r="E45" s="41"/>
      <c r="F45" s="41"/>
    </row>
    <row r="46" spans="1:6" ht="25.5">
      <c r="A46" s="36" t="s">
        <v>142</v>
      </c>
      <c r="B46" s="38" t="s">
        <v>20</v>
      </c>
      <c r="C46" s="36" t="s">
        <v>100</v>
      </c>
      <c r="D46" s="41"/>
      <c r="E46" s="41"/>
      <c r="F46" s="41"/>
    </row>
    <row r="47" spans="1:6">
      <c r="A47" s="36" t="s">
        <v>143</v>
      </c>
      <c r="B47" s="9" t="s">
        <v>178</v>
      </c>
      <c r="C47" s="36" t="s">
        <v>100</v>
      </c>
      <c r="D47" s="52">
        <v>12200091</v>
      </c>
      <c r="E47" s="41"/>
      <c r="F47" s="41"/>
    </row>
    <row r="48" spans="1:6" ht="25.5">
      <c r="A48" s="36" t="s">
        <v>144</v>
      </c>
      <c r="B48" s="9" t="s">
        <v>177</v>
      </c>
      <c r="C48" s="36" t="s">
        <v>145</v>
      </c>
      <c r="D48" s="31">
        <f>19896480/65281414</f>
        <v>0.30478016300320948</v>
      </c>
      <c r="E48" s="41"/>
      <c r="F48" s="41"/>
    </row>
    <row r="49" spans="1:6" ht="38.25">
      <c r="A49" s="36" t="s">
        <v>146</v>
      </c>
      <c r="B49" s="9" t="s">
        <v>13</v>
      </c>
      <c r="C49" s="36" t="s">
        <v>32</v>
      </c>
      <c r="D49" s="100" t="s">
        <v>147</v>
      </c>
      <c r="E49" s="100"/>
      <c r="F49" s="100"/>
    </row>
    <row r="50" spans="1:6">
      <c r="B50" s="8"/>
    </row>
    <row r="51" spans="1:6">
      <c r="A51" s="98" t="s">
        <v>148</v>
      </c>
      <c r="B51" s="98"/>
      <c r="C51" s="98"/>
      <c r="D51" s="98"/>
      <c r="E51" s="98"/>
      <c r="F51" s="98"/>
    </row>
    <row r="52" spans="1:6">
      <c r="A52" s="98" t="s">
        <v>186</v>
      </c>
      <c r="B52" s="98"/>
      <c r="C52" s="98"/>
      <c r="D52" s="98"/>
      <c r="E52" s="98"/>
      <c r="F52" s="98"/>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activeCell="A4" sqref="A4:I4"/>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175</v>
      </c>
    </row>
    <row r="2" spans="1:11">
      <c r="F2" s="27"/>
      <c r="I2" s="26" t="s">
        <v>77</v>
      </c>
    </row>
    <row r="3" spans="1:11">
      <c r="F3" s="27"/>
    </row>
    <row r="4" spans="1:11">
      <c r="A4" s="79" t="s">
        <v>41</v>
      </c>
      <c r="B4" s="97"/>
      <c r="C4" s="97"/>
      <c r="D4" s="97"/>
      <c r="E4" s="97"/>
      <c r="F4" s="97"/>
      <c r="G4" s="97"/>
      <c r="H4" s="97"/>
      <c r="I4" s="97"/>
    </row>
    <row r="5" spans="1:11">
      <c r="A5" s="79" t="str">
        <f>Титульный!$C$22</f>
        <v>Няганская ГРЭС (БЛ 1) ДПМ</v>
      </c>
      <c r="B5" s="97"/>
      <c r="C5" s="97"/>
      <c r="D5" s="97"/>
      <c r="E5" s="97"/>
      <c r="F5" s="97"/>
      <c r="G5" s="97"/>
      <c r="H5" s="97"/>
      <c r="I5" s="97"/>
    </row>
    <row r="7" spans="1:11" s="3" customFormat="1" ht="32.25" customHeight="1">
      <c r="A7" s="101" t="s">
        <v>87</v>
      </c>
      <c r="B7" s="101" t="s">
        <v>9</v>
      </c>
      <c r="C7" s="101" t="s">
        <v>153</v>
      </c>
      <c r="D7" s="101" t="s">
        <v>173</v>
      </c>
      <c r="E7" s="101"/>
      <c r="F7" s="101" t="s">
        <v>150</v>
      </c>
      <c r="G7" s="101"/>
      <c r="H7" s="101" t="s">
        <v>151</v>
      </c>
      <c r="I7" s="101"/>
      <c r="K7" s="2"/>
    </row>
    <row r="8" spans="1:11" s="3" customFormat="1">
      <c r="A8" s="101"/>
      <c r="B8" s="101"/>
      <c r="C8" s="101"/>
      <c r="D8" s="42">
        <f>Титульный!$B$5-2</f>
        <v>2017</v>
      </c>
      <c r="E8" s="43" t="s">
        <v>68</v>
      </c>
      <c r="F8" s="42">
        <f>Титульный!$B$5-1</f>
        <v>2018</v>
      </c>
      <c r="G8" s="43" t="s">
        <v>68</v>
      </c>
      <c r="H8" s="42">
        <f>Титульный!$B$5</f>
        <v>2019</v>
      </c>
      <c r="I8" s="43" t="s">
        <v>68</v>
      </c>
      <c r="K8" s="2"/>
    </row>
    <row r="9" spans="1:11" s="3" customFormat="1">
      <c r="A9" s="101"/>
      <c r="B9" s="101"/>
      <c r="C9" s="101"/>
      <c r="D9" s="10" t="s">
        <v>22</v>
      </c>
      <c r="E9" s="10" t="s">
        <v>23</v>
      </c>
      <c r="F9" s="10" t="s">
        <v>22</v>
      </c>
      <c r="G9" s="10" t="s">
        <v>23</v>
      </c>
      <c r="H9" s="10" t="s">
        <v>22</v>
      </c>
      <c r="I9" s="10" t="s">
        <v>23</v>
      </c>
    </row>
    <row r="10" spans="1:11" ht="12.75" customHeight="1">
      <c r="A10" s="102" t="s">
        <v>170</v>
      </c>
      <c r="B10" s="103"/>
      <c r="C10" s="103"/>
      <c r="D10" s="103"/>
      <c r="E10" s="103"/>
      <c r="F10" s="103"/>
      <c r="G10" s="103"/>
      <c r="H10" s="103"/>
      <c r="I10" s="104"/>
    </row>
    <row r="11" spans="1:11" ht="12.75" customHeight="1">
      <c r="A11" s="30" t="s">
        <v>154</v>
      </c>
      <c r="B11" s="37" t="s">
        <v>155</v>
      </c>
      <c r="C11" s="36" t="s">
        <v>168</v>
      </c>
      <c r="D11" s="29">
        <f>'[7]Утв. тарифы на ЭЭ и ЭМ'!$E$26</f>
        <v>487.4</v>
      </c>
      <c r="E11" s="29">
        <f>'[7]Утв. тарифы на ЭЭ и ЭМ'!$F$26</f>
        <v>496.28</v>
      </c>
      <c r="F11" s="29">
        <f>E11</f>
        <v>496.28</v>
      </c>
      <c r="G11" s="29">
        <f>'[41]0.1'!$G$20</f>
        <v>513.01650137224078</v>
      </c>
      <c r="H11" s="105">
        <f>'[41]0.1'!$L$20</f>
        <v>529.34887642860531</v>
      </c>
      <c r="I11" s="106"/>
      <c r="K11" s="65" t="b">
        <f>ROUND([9]Лист1!$D$200,1)=ROUND(H11,1)</f>
        <v>1</v>
      </c>
    </row>
    <row r="12" spans="1:11" ht="12.75" customHeight="1">
      <c r="A12" s="30"/>
      <c r="B12" s="45" t="s">
        <v>171</v>
      </c>
      <c r="C12" s="36" t="s">
        <v>168</v>
      </c>
      <c r="D12" s="29">
        <f>('[5]НГРЭС Б1'!$F$255+'[5]НГРЭС Б1'!$G$255+'[5]НГРЭС Б1'!$H$255+'[5]НГРЭС Б1'!$J$255+'[5]НГРЭС Б1'!$K$255+'[5]НГРЭС Б1'!$L$255)/('[5]НГРЭС Б1'!$F$22+'[5]НГРЭС Б1'!$G$22+'[5]НГРЭС Б1'!$H$22+'[5]НГРЭС Б1'!$J$22+'[5]НГРЭС Б1'!$K$22+'[5]НГРЭС Б1'!$L$22)</f>
        <v>482.83007254831023</v>
      </c>
      <c r="E12" s="29">
        <f>('[5]НГРЭС Б1'!$N$255+'[5]НГРЭС Б1'!$O$255+'[5]НГРЭС Б1'!$P$255+'[5]НГРЭС Б1'!$R$255+'[5]НГРЭС Б1'!$S$255+'[5]НГРЭС Б1'!$T$255)/('[5]НГРЭС Б1'!$N$22+'[5]НГРЭС Б1'!$O$22+'[5]НГРЭС Б1'!$P$22+'[5]НГРЭС Б1'!$R$22+'[5]НГРЭС Б1'!$S$22+'[5]НГРЭС Б1'!$T$22)</f>
        <v>510.64363607573955</v>
      </c>
      <c r="F12" s="29">
        <f>'[41]2.2'!$G$170</f>
        <v>495.20255109379065</v>
      </c>
      <c r="G12" s="29">
        <f>'[41]2.1'!$G$170</f>
        <v>511.89642137224075</v>
      </c>
      <c r="H12" s="105">
        <f>'[41]2'!$G$170</f>
        <v>528.17743142860525</v>
      </c>
      <c r="I12" s="106"/>
    </row>
    <row r="13" spans="1:11" ht="12.75" customHeight="1">
      <c r="A13" s="30" t="s">
        <v>156</v>
      </c>
      <c r="B13" s="37" t="s">
        <v>157</v>
      </c>
      <c r="C13" s="36" t="s">
        <v>158</v>
      </c>
      <c r="D13" s="44"/>
      <c r="E13" s="44"/>
      <c r="F13" s="44"/>
      <c r="G13" s="44"/>
      <c r="H13" s="109"/>
      <c r="I13" s="110"/>
    </row>
    <row r="14" spans="1:11" ht="27.75" customHeight="1">
      <c r="A14" s="30" t="s">
        <v>159</v>
      </c>
      <c r="B14" s="37" t="s">
        <v>46</v>
      </c>
      <c r="C14" s="36" t="s">
        <v>47</v>
      </c>
      <c r="D14" s="111"/>
      <c r="E14" s="112"/>
      <c r="F14" s="111"/>
      <c r="G14" s="112"/>
      <c r="H14" s="111"/>
      <c r="I14" s="112"/>
    </row>
    <row r="15" spans="1:11" ht="26.25" customHeight="1">
      <c r="A15" s="30" t="s">
        <v>160</v>
      </c>
      <c r="B15" s="46" t="s">
        <v>48</v>
      </c>
      <c r="C15" s="36" t="s">
        <v>47</v>
      </c>
      <c r="D15" s="40"/>
      <c r="E15" s="40"/>
      <c r="F15" s="40"/>
      <c r="G15" s="40"/>
      <c r="H15" s="111"/>
      <c r="I15" s="110"/>
    </row>
    <row r="16" spans="1:11" ht="12.75" customHeight="1">
      <c r="A16" s="30" t="s">
        <v>161</v>
      </c>
      <c r="B16" s="46" t="s">
        <v>49</v>
      </c>
      <c r="C16" s="36" t="s">
        <v>47</v>
      </c>
      <c r="D16" s="44"/>
      <c r="E16" s="44"/>
      <c r="F16" s="44"/>
      <c r="G16" s="44"/>
      <c r="H16" s="44"/>
      <c r="I16" s="44"/>
    </row>
    <row r="17" spans="1:9" ht="12.75" customHeight="1">
      <c r="A17" s="30"/>
      <c r="B17" s="38" t="s">
        <v>50</v>
      </c>
      <c r="C17" s="36" t="s">
        <v>47</v>
      </c>
      <c r="D17" s="44"/>
      <c r="E17" s="44"/>
      <c r="F17" s="44"/>
      <c r="G17" s="44"/>
      <c r="H17" s="44"/>
      <c r="I17" s="44"/>
    </row>
    <row r="18" spans="1:9" ht="12.75" customHeight="1">
      <c r="A18" s="30"/>
      <c r="B18" s="38" t="s">
        <v>51</v>
      </c>
      <c r="C18" s="36" t="s">
        <v>47</v>
      </c>
      <c r="D18" s="44"/>
      <c r="E18" s="44"/>
      <c r="F18" s="44"/>
      <c r="G18" s="44"/>
      <c r="H18" s="44"/>
      <c r="I18" s="44"/>
    </row>
    <row r="19" spans="1:9" ht="12.75" customHeight="1">
      <c r="A19" s="30"/>
      <c r="B19" s="38" t="s">
        <v>52</v>
      </c>
      <c r="C19" s="36" t="s">
        <v>47</v>
      </c>
      <c r="D19" s="44"/>
      <c r="E19" s="44"/>
      <c r="F19" s="44"/>
      <c r="G19" s="44"/>
      <c r="H19" s="44"/>
      <c r="I19" s="44"/>
    </row>
    <row r="20" spans="1:9" ht="12.75" customHeight="1">
      <c r="A20" s="30"/>
      <c r="B20" s="38" t="s">
        <v>53</v>
      </c>
      <c r="C20" s="36" t="s">
        <v>47</v>
      </c>
      <c r="D20" s="44"/>
      <c r="E20" s="44"/>
      <c r="F20" s="44"/>
      <c r="G20" s="44"/>
      <c r="H20" s="44"/>
      <c r="I20" s="44"/>
    </row>
    <row r="21" spans="1:9" ht="12.75" customHeight="1">
      <c r="A21" s="30" t="s">
        <v>162</v>
      </c>
      <c r="B21" s="46" t="s">
        <v>54</v>
      </c>
      <c r="C21" s="36" t="s">
        <v>47</v>
      </c>
      <c r="D21" s="44"/>
      <c r="E21" s="44"/>
      <c r="F21" s="44"/>
      <c r="G21" s="44"/>
      <c r="H21" s="44"/>
      <c r="I21" s="44"/>
    </row>
    <row r="22" spans="1:9" ht="12.75" customHeight="1">
      <c r="A22" s="30" t="s">
        <v>163</v>
      </c>
      <c r="B22" s="37" t="s">
        <v>55</v>
      </c>
      <c r="C22" s="36" t="s">
        <v>32</v>
      </c>
      <c r="D22" s="44"/>
      <c r="E22" s="44"/>
      <c r="F22" s="44"/>
      <c r="G22" s="44"/>
      <c r="H22" s="44"/>
      <c r="I22" s="44"/>
    </row>
    <row r="23" spans="1:9" ht="25.5" customHeight="1">
      <c r="A23" s="30" t="s">
        <v>164</v>
      </c>
      <c r="B23" s="38" t="s">
        <v>56</v>
      </c>
      <c r="C23" s="30" t="s">
        <v>57</v>
      </c>
      <c r="D23" s="44"/>
      <c r="E23" s="44"/>
      <c r="F23" s="44"/>
      <c r="G23" s="44"/>
      <c r="H23" s="44"/>
      <c r="I23" s="44"/>
    </row>
    <row r="24" spans="1:9" ht="12.75" customHeight="1">
      <c r="A24" s="30" t="s">
        <v>165</v>
      </c>
      <c r="B24" s="46" t="s">
        <v>58</v>
      </c>
      <c r="C24" s="36" t="s">
        <v>47</v>
      </c>
      <c r="D24" s="44"/>
      <c r="E24" s="44"/>
      <c r="F24" s="44"/>
      <c r="G24" s="44"/>
      <c r="H24" s="44"/>
      <c r="I24" s="44"/>
    </row>
    <row r="25" spans="1:9" ht="12.75" customHeight="1">
      <c r="A25" s="30" t="s">
        <v>166</v>
      </c>
      <c r="B25" s="37" t="s">
        <v>59</v>
      </c>
      <c r="C25" s="36" t="s">
        <v>169</v>
      </c>
      <c r="D25" s="44"/>
      <c r="E25" s="44"/>
      <c r="F25" s="44"/>
      <c r="G25" s="44"/>
      <c r="H25" s="44"/>
      <c r="I25" s="44"/>
    </row>
    <row r="26" spans="1:9" ht="15" customHeight="1">
      <c r="A26" s="30"/>
      <c r="B26" s="38" t="s">
        <v>60</v>
      </c>
      <c r="C26" s="36" t="s">
        <v>169</v>
      </c>
      <c r="D26" s="44"/>
      <c r="E26" s="44"/>
      <c r="F26" s="44"/>
      <c r="G26" s="44"/>
      <c r="H26" s="44"/>
      <c r="I26" s="44"/>
    </row>
    <row r="27" spans="1:9">
      <c r="A27" s="30"/>
      <c r="B27" s="38" t="s">
        <v>61</v>
      </c>
      <c r="C27" s="36" t="s">
        <v>169</v>
      </c>
      <c r="D27" s="44"/>
      <c r="E27" s="44"/>
      <c r="F27" s="44"/>
      <c r="G27" s="44"/>
      <c r="H27" s="44"/>
      <c r="I27" s="44"/>
    </row>
    <row r="28" spans="1:9">
      <c r="A28" s="8"/>
      <c r="B28" s="33"/>
      <c r="C28" s="32"/>
      <c r="D28" s="33"/>
      <c r="E28" s="33"/>
      <c r="F28" s="33"/>
      <c r="G28" s="33"/>
      <c r="H28" s="33"/>
      <c r="I28" s="33"/>
    </row>
    <row r="29" spans="1:9">
      <c r="A29" s="98" t="s">
        <v>167</v>
      </c>
      <c r="B29" s="98"/>
      <c r="C29" s="98"/>
      <c r="D29" s="98"/>
      <c r="E29" s="98"/>
      <c r="F29" s="98"/>
      <c r="G29" s="98"/>
      <c r="H29" s="98"/>
      <c r="I29" s="98"/>
    </row>
    <row r="30" spans="1:9">
      <c r="A30" s="98" t="s">
        <v>172</v>
      </c>
      <c r="B30" s="98"/>
      <c r="C30" s="98"/>
      <c r="D30" s="98"/>
      <c r="E30" s="98"/>
      <c r="F30" s="98"/>
      <c r="G30" s="98"/>
      <c r="H30" s="98"/>
      <c r="I30" s="98"/>
    </row>
    <row r="31" spans="1:9">
      <c r="A31" s="98" t="s">
        <v>181</v>
      </c>
      <c r="B31" s="98"/>
      <c r="C31" s="98"/>
      <c r="D31" s="98"/>
      <c r="E31" s="98"/>
      <c r="F31" s="98"/>
      <c r="G31" s="98"/>
      <c r="H31" s="98"/>
      <c r="I31" s="98"/>
    </row>
    <row r="32" spans="1:9">
      <c r="A32" s="98"/>
      <c r="B32" s="98"/>
      <c r="C32" s="98"/>
      <c r="D32" s="98"/>
      <c r="E32" s="98"/>
      <c r="F32" s="98"/>
      <c r="G32" s="98"/>
      <c r="H32" s="98"/>
      <c r="I32" s="98"/>
    </row>
  </sheetData>
  <mergeCells count="20">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H15:I15"/>
    <mergeCell ref="A29:I29"/>
    <mergeCell ref="A30:I30"/>
    <mergeCell ref="A31:I31"/>
    <mergeCell ref="A32:I32"/>
  </mergeCells>
  <conditionalFormatting sqref="K11">
    <cfRule type="containsText" dxfId="5" priority="1" operator="containsText" text="ложь">
      <formula>NOT(ISERROR(SEARCH("ложь",K11)))</formula>
    </cfRule>
    <cfRule type="containsText" dxfId="4" priority="2" operator="containsText" text="истина">
      <formula>NOT(ISERROR(SEARCH("истина",K11)))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31" activePane="bottomRight" state="frozen"/>
      <selection activeCell="D49" sqref="D49:F49"/>
      <selection pane="topRight" activeCell="D49" sqref="D49:F49"/>
      <selection pane="bottomLeft" activeCell="D49" sqref="D49:F49"/>
      <selection pane="bottomRight" activeCell="F24" sqref="F24"/>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176</v>
      </c>
    </row>
    <row r="2" spans="1:6">
      <c r="F2" s="34" t="s">
        <v>77</v>
      </c>
    </row>
    <row r="3" spans="1:6">
      <c r="B3" s="63"/>
    </row>
    <row r="4" spans="1:6">
      <c r="A4" s="99" t="s">
        <v>39</v>
      </c>
      <c r="B4" s="99"/>
      <c r="C4" s="99"/>
      <c r="D4" s="99"/>
      <c r="E4" s="99"/>
      <c r="F4" s="99"/>
    </row>
    <row r="5" spans="1:6">
      <c r="A5" s="99" t="str">
        <f>Титульный!$C$23</f>
        <v>Няганская ГРЭС (БЛ 2) ДПМ</v>
      </c>
      <c r="B5" s="99"/>
      <c r="C5" s="99"/>
      <c r="D5" s="99"/>
      <c r="E5" s="99"/>
      <c r="F5" s="99"/>
    </row>
    <row r="6" spans="1:6">
      <c r="A6" s="49"/>
      <c r="B6" s="49"/>
      <c r="C6" s="49"/>
      <c r="D6" s="49"/>
      <c r="E6" s="49"/>
      <c r="F6" s="49"/>
    </row>
    <row r="7" spans="1:6" s="8" customFormat="1" ht="38.25">
      <c r="A7" s="100" t="s">
        <v>1</v>
      </c>
      <c r="B7" s="100" t="s">
        <v>9</v>
      </c>
      <c r="C7" s="100" t="s">
        <v>10</v>
      </c>
      <c r="D7" s="50" t="s">
        <v>149</v>
      </c>
      <c r="E7" s="50" t="s">
        <v>150</v>
      </c>
      <c r="F7" s="50" t="s">
        <v>151</v>
      </c>
    </row>
    <row r="8" spans="1:6" s="8" customFormat="1">
      <c r="A8" s="100"/>
      <c r="B8" s="100"/>
      <c r="C8" s="100"/>
      <c r="D8" s="50">
        <f>Титульный!$B$5-2</f>
        <v>2017</v>
      </c>
      <c r="E8" s="50">
        <f>Титульный!$B$5-1</f>
        <v>2018</v>
      </c>
      <c r="F8" s="50">
        <f>Титульный!$B$5</f>
        <v>2019</v>
      </c>
    </row>
    <row r="9" spans="1:6" s="8" customFormat="1">
      <c r="A9" s="100"/>
      <c r="B9" s="100"/>
      <c r="C9" s="100"/>
      <c r="D9" s="50" t="s">
        <v>68</v>
      </c>
      <c r="E9" s="50" t="s">
        <v>68</v>
      </c>
      <c r="F9" s="50" t="s">
        <v>68</v>
      </c>
    </row>
    <row r="10" spans="1:6">
      <c r="A10" s="36" t="s">
        <v>88</v>
      </c>
      <c r="B10" s="37" t="s">
        <v>33</v>
      </c>
      <c r="C10" s="36" t="s">
        <v>35</v>
      </c>
      <c r="D10" s="29">
        <f>[42]modfrmReestr!$H$11</f>
        <v>0</v>
      </c>
      <c r="E10" s="29">
        <f>'[42]0.1'!$I$11</f>
        <v>453.10000000000008</v>
      </c>
      <c r="F10" s="29">
        <f>'[42]0.1'!$L$11</f>
        <v>453.10000000000008</v>
      </c>
    </row>
    <row r="11" spans="1:6" ht="38.25">
      <c r="A11" s="36" t="s">
        <v>89</v>
      </c>
      <c r="B11" s="37" t="s">
        <v>34</v>
      </c>
      <c r="C11" s="36" t="s">
        <v>35</v>
      </c>
      <c r="D11" s="29">
        <f>[42]modfrmReestr!$H$12-[42]modfrmReestr!$H$14</f>
        <v>0</v>
      </c>
      <c r="E11" s="29">
        <f>'[42]0.1'!$I$12</f>
        <v>441.61686140212163</v>
      </c>
      <c r="F11" s="29">
        <f>'[42]0.1'!$L$12</f>
        <v>440.78810344381935</v>
      </c>
    </row>
    <row r="12" spans="1:6">
      <c r="A12" s="36" t="s">
        <v>90</v>
      </c>
      <c r="B12" s="37" t="s">
        <v>91</v>
      </c>
      <c r="C12" s="36" t="s">
        <v>152</v>
      </c>
      <c r="D12" s="29">
        <f>'[5]НГРЭС Б2'!$E$7</f>
        <v>3010.0070000000001</v>
      </c>
      <c r="E12" s="29">
        <f>'[42]0.1'!$I$13</f>
        <v>3210.5663000000004</v>
      </c>
      <c r="F12" s="29">
        <f>'[42]0.1'!$L$13</f>
        <v>3210.5663</v>
      </c>
    </row>
    <row r="13" spans="1:6">
      <c r="A13" s="36" t="s">
        <v>92</v>
      </c>
      <c r="B13" s="37" t="s">
        <v>93</v>
      </c>
      <c r="C13" s="36" t="s">
        <v>152</v>
      </c>
      <c r="D13" s="29">
        <f>'[5]НГРЭС Б2'!$E$22</f>
        <v>2948.758519</v>
      </c>
      <c r="E13" s="29">
        <f>'[42]0.1'!$I$15</f>
        <v>3147.3052000000002</v>
      </c>
      <c r="F13" s="29">
        <f>'[42]0.1'!$L$15</f>
        <v>3145.5655754729023</v>
      </c>
    </row>
    <row r="14" spans="1:6">
      <c r="A14" s="36" t="s">
        <v>94</v>
      </c>
      <c r="B14" s="37" t="s">
        <v>95</v>
      </c>
      <c r="C14" s="36" t="s">
        <v>96</v>
      </c>
      <c r="D14" s="29">
        <f>'[5]НГРЭС Б2'!$E$23</f>
        <v>38.775999999999996</v>
      </c>
      <c r="E14" s="29">
        <f>'[42]0.1'!$I$16</f>
        <v>17.32</v>
      </c>
      <c r="F14" s="29">
        <f>'[42]0.1'!$L$16</f>
        <v>38.775999999999996</v>
      </c>
    </row>
    <row r="15" spans="1:6">
      <c r="A15" s="36" t="s">
        <v>97</v>
      </c>
      <c r="B15" s="37" t="s">
        <v>98</v>
      </c>
      <c r="C15" s="36" t="s">
        <v>96</v>
      </c>
      <c r="D15" s="29">
        <f>'[5]НГРЭС Б2'!$E$26</f>
        <v>0</v>
      </c>
      <c r="E15" s="29">
        <f>'[42]0.1'!$I$17</f>
        <v>0</v>
      </c>
      <c r="F15" s="29">
        <f>'[42]0.1'!$L$17</f>
        <v>0</v>
      </c>
    </row>
    <row r="16" spans="1:6">
      <c r="A16" s="36" t="s">
        <v>99</v>
      </c>
      <c r="B16" s="37" t="s">
        <v>11</v>
      </c>
      <c r="C16" s="36" t="s">
        <v>100</v>
      </c>
      <c r="D16" s="40"/>
      <c r="E16" s="29">
        <f>'[42]0.1'!$I$43</f>
        <v>1939235.5145389787</v>
      </c>
      <c r="F16" s="29">
        <f>'[42]0.1'!$L$43</f>
        <v>2009079.1422848853</v>
      </c>
    </row>
    <row r="17" spans="1:8">
      <c r="A17" s="36" t="s">
        <v>101</v>
      </c>
      <c r="B17" s="38" t="s">
        <v>14</v>
      </c>
      <c r="C17" s="36" t="s">
        <v>100</v>
      </c>
      <c r="D17" s="40"/>
      <c r="E17" s="29">
        <f>'[42]0.1'!$G$43</f>
        <v>1939235.5145389787</v>
      </c>
      <c r="F17" s="29">
        <f>'[42]0.1'!$J$43</f>
        <v>2009079.1422848853</v>
      </c>
    </row>
    <row r="18" spans="1:8">
      <c r="A18" s="36" t="s">
        <v>102</v>
      </c>
      <c r="B18" s="38" t="s">
        <v>15</v>
      </c>
      <c r="C18" s="36" t="s">
        <v>100</v>
      </c>
      <c r="D18" s="40"/>
      <c r="E18" s="29">
        <f>'[42]0.1'!$H$43</f>
        <v>0</v>
      </c>
      <c r="F18" s="29">
        <f>'[42]0.1'!$K$43</f>
        <v>0</v>
      </c>
    </row>
    <row r="19" spans="1:8" ht="25.5">
      <c r="A19" s="36" t="s">
        <v>103</v>
      </c>
      <c r="B19" s="38" t="s">
        <v>16</v>
      </c>
      <c r="C19" s="36" t="s">
        <v>100</v>
      </c>
      <c r="D19" s="41"/>
      <c r="E19" s="41"/>
      <c r="F19" s="41"/>
    </row>
    <row r="20" spans="1:8">
      <c r="A20" s="36" t="s">
        <v>104</v>
      </c>
      <c r="B20" s="37" t="s">
        <v>105</v>
      </c>
      <c r="C20" s="36" t="s">
        <v>100</v>
      </c>
      <c r="D20" s="29">
        <f>'[5]НГРЭС Б2'!$E$235</f>
        <v>1464489.0136599999</v>
      </c>
      <c r="E20" s="29">
        <f>'[42]0.1'!$I$31</f>
        <v>1943123.0905044901</v>
      </c>
      <c r="F20" s="29">
        <f>'[42]0.1'!$L$31</f>
        <v>2022563.2653549237</v>
      </c>
      <c r="G20" s="47"/>
      <c r="H20" s="47"/>
    </row>
    <row r="21" spans="1:8">
      <c r="A21" s="36" t="s">
        <v>106</v>
      </c>
      <c r="B21" s="38" t="s">
        <v>107</v>
      </c>
      <c r="C21" s="36" t="s">
        <v>100</v>
      </c>
      <c r="D21" s="29">
        <f>'[5]НГРЭС Б2'!$E$255</f>
        <v>1464489.0136600002</v>
      </c>
      <c r="E21" s="29">
        <f>'[42]0.1'!$I$32</f>
        <v>1935710.2809305624</v>
      </c>
      <c r="F21" s="29">
        <f>'[42]0.1'!$L$32</f>
        <v>2005394.285219325</v>
      </c>
      <c r="G21" s="47"/>
      <c r="H21" s="47"/>
    </row>
    <row r="22" spans="1:8" ht="25.5">
      <c r="A22" s="36"/>
      <c r="B22" s="38" t="s">
        <v>108</v>
      </c>
      <c r="C22" s="36" t="s">
        <v>36</v>
      </c>
      <c r="D22" s="29">
        <f>'[5]НГРЭС Б2'!$E$31</f>
        <v>212.91389443382326</v>
      </c>
      <c r="E22" s="29">
        <f>'[42]4'!$L$24</f>
        <v>218.1</v>
      </c>
      <c r="F22" s="29">
        <f>'[42]4'!$M$24</f>
        <v>219.03968830128582</v>
      </c>
      <c r="G22" s="47"/>
      <c r="H22" s="47"/>
    </row>
    <row r="23" spans="1:8">
      <c r="A23" s="36" t="s">
        <v>109</v>
      </c>
      <c r="B23" s="38" t="s">
        <v>110</v>
      </c>
      <c r="C23" s="36" t="s">
        <v>100</v>
      </c>
      <c r="D23" s="29">
        <f>D20-D21</f>
        <v>0</v>
      </c>
      <c r="E23" s="29">
        <f>'[42]0.1'!$I$33</f>
        <v>7412.8095739276614</v>
      </c>
      <c r="F23" s="29">
        <f>'[42]0.1'!$L$33</f>
        <v>17168.980135598686</v>
      </c>
    </row>
    <row r="24" spans="1:8">
      <c r="A24" s="36"/>
      <c r="B24" s="38" t="s">
        <v>111</v>
      </c>
      <c r="C24" s="36" t="s">
        <v>112</v>
      </c>
      <c r="D24" s="29">
        <f>'[5]НГРЭС Б2'!$E$36</f>
        <v>150.37652155972768</v>
      </c>
      <c r="E24" s="29">
        <f>'[42]4'!$L$28</f>
        <v>152.30000000000001</v>
      </c>
      <c r="F24" s="29">
        <f>'[42]4'!$M$28</f>
        <v>152.82266659789562</v>
      </c>
    </row>
    <row r="25" spans="1:8" ht="25.5">
      <c r="A25" s="36"/>
      <c r="B25" s="9" t="s">
        <v>113</v>
      </c>
      <c r="C25" s="36" t="s">
        <v>32</v>
      </c>
      <c r="D25" s="50" t="s">
        <v>195</v>
      </c>
      <c r="E25" s="67" t="s">
        <v>195</v>
      </c>
      <c r="F25" s="41"/>
    </row>
    <row r="26" spans="1:8">
      <c r="A26" s="36" t="s">
        <v>114</v>
      </c>
      <c r="B26" s="9" t="s">
        <v>17</v>
      </c>
      <c r="C26" s="36" t="s">
        <v>100</v>
      </c>
      <c r="D26" s="41"/>
      <c r="E26" s="41"/>
      <c r="F26" s="41"/>
    </row>
    <row r="27" spans="1:8" ht="25.5">
      <c r="A27" s="36" t="s">
        <v>115</v>
      </c>
      <c r="B27" s="9" t="s">
        <v>12</v>
      </c>
      <c r="C27" s="36" t="s">
        <v>32</v>
      </c>
      <c r="D27" s="41"/>
      <c r="E27" s="41"/>
      <c r="F27" s="41"/>
    </row>
    <row r="28" spans="1:8">
      <c r="A28" s="36" t="s">
        <v>116</v>
      </c>
      <c r="B28" s="38" t="s">
        <v>117</v>
      </c>
      <c r="C28" s="36" t="s">
        <v>118</v>
      </c>
      <c r="D28" s="41"/>
      <c r="E28" s="41"/>
      <c r="F28" s="41"/>
    </row>
    <row r="29" spans="1:8" ht="25.5">
      <c r="A29" s="39" t="s">
        <v>119</v>
      </c>
      <c r="B29" s="38" t="s">
        <v>120</v>
      </c>
      <c r="C29" s="50" t="s">
        <v>121</v>
      </c>
      <c r="D29" s="41"/>
      <c r="E29" s="41"/>
      <c r="F29" s="41"/>
    </row>
    <row r="30" spans="1:8" ht="25.5">
      <c r="A30" s="36" t="s">
        <v>122</v>
      </c>
      <c r="B30" s="38" t="s">
        <v>123</v>
      </c>
      <c r="C30" s="36" t="s">
        <v>32</v>
      </c>
      <c r="D30" s="41"/>
      <c r="E30" s="41"/>
      <c r="F30" s="41"/>
    </row>
    <row r="31" spans="1:8">
      <c r="A31" s="36" t="s">
        <v>124</v>
      </c>
      <c r="B31" s="9" t="s">
        <v>125</v>
      </c>
      <c r="C31" s="36" t="s">
        <v>100</v>
      </c>
      <c r="D31" s="29">
        <f>D32+D33+D34</f>
        <v>2866099.1083200001</v>
      </c>
      <c r="E31" s="41"/>
      <c r="F31" s="41"/>
      <c r="G31" s="47"/>
    </row>
    <row r="32" spans="1:8">
      <c r="A32" s="36" t="s">
        <v>126</v>
      </c>
      <c r="B32" s="38" t="s">
        <v>18</v>
      </c>
      <c r="C32" s="36" t="s">
        <v>100</v>
      </c>
      <c r="D32" s="29">
        <f>1665317622.72/1000</f>
        <v>1665317.6227200001</v>
      </c>
      <c r="E32" s="41"/>
      <c r="F32" s="41"/>
      <c r="G32" s="47"/>
    </row>
    <row r="33" spans="1:6">
      <c r="A33" s="36" t="s">
        <v>127</v>
      </c>
      <c r="B33" s="38" t="s">
        <v>19</v>
      </c>
      <c r="C33" s="36" t="s">
        <v>100</v>
      </c>
      <c r="D33" s="29">
        <f>1200781485.6/1000</f>
        <v>1200781.4856</v>
      </c>
      <c r="E33" s="41"/>
      <c r="F33" s="41"/>
    </row>
    <row r="34" spans="1:6" ht="25.5">
      <c r="A34" s="36" t="s">
        <v>128</v>
      </c>
      <c r="B34" s="38" t="s">
        <v>20</v>
      </c>
      <c r="C34" s="36" t="s">
        <v>100</v>
      </c>
      <c r="D34" s="29">
        <v>0</v>
      </c>
      <c r="E34" s="41"/>
      <c r="F34" s="41"/>
    </row>
    <row r="35" spans="1:6">
      <c r="A35" s="36" t="s">
        <v>179</v>
      </c>
      <c r="B35" s="38" t="s">
        <v>180</v>
      </c>
      <c r="C35" s="36" t="s">
        <v>100</v>
      </c>
      <c r="D35" s="29">
        <v>0</v>
      </c>
      <c r="E35" s="41"/>
      <c r="F35" s="41"/>
    </row>
    <row r="36" spans="1:6">
      <c r="A36" s="36" t="s">
        <v>129</v>
      </c>
      <c r="B36" s="9" t="s">
        <v>130</v>
      </c>
      <c r="C36" s="36" t="s">
        <v>100</v>
      </c>
      <c r="D36" s="41"/>
      <c r="E36" s="41"/>
      <c r="F36" s="41"/>
    </row>
    <row r="37" spans="1:6">
      <c r="A37" s="36" t="s">
        <v>131</v>
      </c>
      <c r="B37" s="38" t="s">
        <v>21</v>
      </c>
      <c r="C37" s="36" t="s">
        <v>100</v>
      </c>
      <c r="D37" s="41"/>
      <c r="E37" s="41"/>
      <c r="F37" s="41"/>
    </row>
    <row r="38" spans="1:6">
      <c r="A38" s="36" t="s">
        <v>132</v>
      </c>
      <c r="B38" s="38" t="s">
        <v>40</v>
      </c>
      <c r="C38" s="36" t="s">
        <v>100</v>
      </c>
      <c r="D38" s="41"/>
      <c r="E38" s="41"/>
      <c r="F38" s="41"/>
    </row>
    <row r="39" spans="1:6">
      <c r="A39" s="36" t="s">
        <v>133</v>
      </c>
      <c r="B39" s="9" t="s">
        <v>134</v>
      </c>
      <c r="C39" s="36" t="s">
        <v>100</v>
      </c>
      <c r="D39" s="41"/>
      <c r="E39" s="41"/>
      <c r="F39" s="41"/>
    </row>
    <row r="40" spans="1:6">
      <c r="A40" s="36" t="s">
        <v>135</v>
      </c>
      <c r="B40" s="38" t="s">
        <v>18</v>
      </c>
      <c r="C40" s="36" t="s">
        <v>100</v>
      </c>
      <c r="D40" s="41"/>
      <c r="E40" s="41"/>
      <c r="F40" s="41"/>
    </row>
    <row r="41" spans="1:6">
      <c r="A41" s="36" t="s">
        <v>136</v>
      </c>
      <c r="B41" s="38" t="s">
        <v>19</v>
      </c>
      <c r="C41" s="36" t="s">
        <v>100</v>
      </c>
      <c r="D41" s="41"/>
      <c r="E41" s="41"/>
      <c r="F41" s="41"/>
    </row>
    <row r="42" spans="1:6" ht="25.5">
      <c r="A42" s="36" t="s">
        <v>137</v>
      </c>
      <c r="B42" s="38" t="s">
        <v>20</v>
      </c>
      <c r="C42" s="36" t="s">
        <v>100</v>
      </c>
      <c r="D42" s="41"/>
      <c r="E42" s="41"/>
      <c r="F42" s="41"/>
    </row>
    <row r="43" spans="1:6" ht="25.5">
      <c r="A43" s="36" t="s">
        <v>138</v>
      </c>
      <c r="B43" s="9" t="s">
        <v>139</v>
      </c>
      <c r="C43" s="36" t="s">
        <v>100</v>
      </c>
      <c r="D43" s="41"/>
      <c r="E43" s="41"/>
      <c r="F43" s="41"/>
    </row>
    <row r="44" spans="1:6">
      <c r="A44" s="36" t="s">
        <v>140</v>
      </c>
      <c r="B44" s="38" t="s">
        <v>18</v>
      </c>
      <c r="C44" s="36" t="s">
        <v>100</v>
      </c>
      <c r="D44" s="41"/>
      <c r="E44" s="41"/>
      <c r="F44" s="41"/>
    </row>
    <row r="45" spans="1:6">
      <c r="A45" s="36" t="s">
        <v>141</v>
      </c>
      <c r="B45" s="38" t="s">
        <v>19</v>
      </c>
      <c r="C45" s="36" t="s">
        <v>100</v>
      </c>
      <c r="D45" s="41"/>
      <c r="E45" s="41"/>
      <c r="F45" s="41"/>
    </row>
    <row r="46" spans="1:6" ht="25.5">
      <c r="A46" s="36" t="s">
        <v>142</v>
      </c>
      <c r="B46" s="38" t="s">
        <v>20</v>
      </c>
      <c r="C46" s="36" t="s">
        <v>100</v>
      </c>
      <c r="D46" s="41"/>
      <c r="E46" s="41"/>
      <c r="F46" s="41"/>
    </row>
    <row r="47" spans="1:6">
      <c r="A47" s="36" t="s">
        <v>143</v>
      </c>
      <c r="B47" s="9" t="s">
        <v>178</v>
      </c>
      <c r="C47" s="36" t="s">
        <v>100</v>
      </c>
      <c r="D47" s="52">
        <v>12200091</v>
      </c>
      <c r="E47" s="41"/>
      <c r="F47" s="41"/>
    </row>
    <row r="48" spans="1:6" ht="25.5">
      <c r="A48" s="36" t="s">
        <v>144</v>
      </c>
      <c r="B48" s="9" t="s">
        <v>177</v>
      </c>
      <c r="C48" s="36" t="s">
        <v>145</v>
      </c>
      <c r="D48" s="31">
        <f>19896480/65281414</f>
        <v>0.30478016300320948</v>
      </c>
      <c r="E48" s="41"/>
      <c r="F48" s="41"/>
    </row>
    <row r="49" spans="1:6" ht="38.25">
      <c r="A49" s="36" t="s">
        <v>146</v>
      </c>
      <c r="B49" s="9" t="s">
        <v>13</v>
      </c>
      <c r="C49" s="36" t="s">
        <v>32</v>
      </c>
      <c r="D49" s="100" t="s">
        <v>147</v>
      </c>
      <c r="E49" s="100"/>
      <c r="F49" s="100"/>
    </row>
    <row r="50" spans="1:6">
      <c r="B50" s="8"/>
    </row>
    <row r="51" spans="1:6">
      <c r="A51" s="98" t="s">
        <v>148</v>
      </c>
      <c r="B51" s="98"/>
      <c r="C51" s="98"/>
      <c r="D51" s="98"/>
      <c r="E51" s="98"/>
      <c r="F51" s="98"/>
    </row>
    <row r="52" spans="1:6">
      <c r="A52" s="98" t="s">
        <v>186</v>
      </c>
      <c r="B52" s="98"/>
      <c r="C52" s="98"/>
      <c r="D52" s="98"/>
      <c r="E52" s="98"/>
      <c r="F52" s="98"/>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activeCell="E12" sqref="E12"/>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175</v>
      </c>
    </row>
    <row r="2" spans="1:11">
      <c r="F2" s="27"/>
      <c r="I2" s="26" t="s">
        <v>77</v>
      </c>
    </row>
    <row r="3" spans="1:11">
      <c r="F3" s="27"/>
    </row>
    <row r="4" spans="1:11">
      <c r="A4" s="79" t="s">
        <v>41</v>
      </c>
      <c r="B4" s="97"/>
      <c r="C4" s="97"/>
      <c r="D4" s="97"/>
      <c r="E4" s="97"/>
      <c r="F4" s="97"/>
      <c r="G4" s="97"/>
      <c r="H4" s="97"/>
      <c r="I4" s="97"/>
    </row>
    <row r="5" spans="1:11">
      <c r="A5" s="79" t="str">
        <f>Титульный!$C$23</f>
        <v>Няганская ГРЭС (БЛ 2) ДПМ</v>
      </c>
      <c r="B5" s="97"/>
      <c r="C5" s="97"/>
      <c r="D5" s="97"/>
      <c r="E5" s="97"/>
      <c r="F5" s="97"/>
      <c r="G5" s="97"/>
      <c r="H5" s="97"/>
      <c r="I5" s="97"/>
    </row>
    <row r="7" spans="1:11" s="3" customFormat="1" ht="32.25" customHeight="1">
      <c r="A7" s="101" t="s">
        <v>87</v>
      </c>
      <c r="B7" s="101" t="s">
        <v>9</v>
      </c>
      <c r="C7" s="101" t="s">
        <v>153</v>
      </c>
      <c r="D7" s="101" t="s">
        <v>173</v>
      </c>
      <c r="E7" s="101"/>
      <c r="F7" s="101" t="s">
        <v>150</v>
      </c>
      <c r="G7" s="101"/>
      <c r="H7" s="101" t="s">
        <v>151</v>
      </c>
      <c r="I7" s="101"/>
      <c r="K7" s="48"/>
    </row>
    <row r="8" spans="1:11" s="3" customFormat="1">
      <c r="A8" s="101"/>
      <c r="B8" s="101"/>
      <c r="C8" s="101"/>
      <c r="D8" s="42">
        <f>Титульный!$B$5-2</f>
        <v>2017</v>
      </c>
      <c r="E8" s="43" t="s">
        <v>68</v>
      </c>
      <c r="F8" s="42">
        <f>Титульный!$B$5-1</f>
        <v>2018</v>
      </c>
      <c r="G8" s="43" t="s">
        <v>68</v>
      </c>
      <c r="H8" s="42">
        <f>Титульный!$B$5</f>
        <v>2019</v>
      </c>
      <c r="I8" s="43" t="s">
        <v>68</v>
      </c>
      <c r="K8" s="48"/>
    </row>
    <row r="9" spans="1:11" s="3" customFormat="1">
      <c r="A9" s="101"/>
      <c r="B9" s="101"/>
      <c r="C9" s="101"/>
      <c r="D9" s="51" t="s">
        <v>22</v>
      </c>
      <c r="E9" s="51" t="s">
        <v>23</v>
      </c>
      <c r="F9" s="51" t="s">
        <v>22</v>
      </c>
      <c r="G9" s="51" t="s">
        <v>23</v>
      </c>
      <c r="H9" s="51" t="s">
        <v>22</v>
      </c>
      <c r="I9" s="51" t="s">
        <v>23</v>
      </c>
    </row>
    <row r="10" spans="1:11" ht="12.75" customHeight="1">
      <c r="A10" s="102" t="s">
        <v>170</v>
      </c>
      <c r="B10" s="103"/>
      <c r="C10" s="103"/>
      <c r="D10" s="103"/>
      <c r="E10" s="103"/>
      <c r="F10" s="103"/>
      <c r="G10" s="103"/>
      <c r="H10" s="103"/>
      <c r="I10" s="104"/>
    </row>
    <row r="11" spans="1:11" ht="12.75" customHeight="1">
      <c r="A11" s="50" t="s">
        <v>154</v>
      </c>
      <c r="B11" s="37" t="s">
        <v>155</v>
      </c>
      <c r="C11" s="36" t="s">
        <v>168</v>
      </c>
      <c r="D11" s="29">
        <f>'[7]Утв. тарифы на ЭЭ и ЭМ'!$E$27</f>
        <v>583.37</v>
      </c>
      <c r="E11" s="29">
        <f>'[7]Утв. тарифы на ЭЭ и ЭМ'!$F$27</f>
        <v>596.16</v>
      </c>
      <c r="F11" s="29">
        <f>E11</f>
        <v>596.16</v>
      </c>
      <c r="G11" s="29">
        <f>'[42]0.1'!$G$20</f>
        <v>616.15743987554129</v>
      </c>
      <c r="H11" s="105">
        <f>'[42]0.1'!$L$20</f>
        <v>638.70203754466047</v>
      </c>
      <c r="I11" s="106"/>
      <c r="K11" s="65" t="b">
        <f>ROUND([9]Лист1!$D$202,1)=ROUND(H11,1)</f>
        <v>1</v>
      </c>
    </row>
    <row r="12" spans="1:11" ht="12.75" customHeight="1">
      <c r="A12" s="50"/>
      <c r="B12" s="45" t="s">
        <v>171</v>
      </c>
      <c r="C12" s="36" t="s">
        <v>168</v>
      </c>
      <c r="D12" s="29">
        <f>('[5]НГРЭС Б2'!$F$255+'[5]НГРЭС Б2'!$G$255+'[5]НГРЭС Б2'!$H$255+'[5]НГРЭС Б2'!$J$255+'[5]НГРЭС Б2'!$K$255+'[5]НГРЭС Б2'!$L$255)/('[5]НГРЭС Б2'!$F$22+'[5]НГРЭС Б2'!$G$22+'[5]НГРЭС Б2'!$H$22+'[5]НГРЭС Б2'!$J$22+'[5]НГРЭС Б2'!$K$22+'[5]НГРЭС Б2'!$L$22)</f>
        <v>486.88351387475007</v>
      </c>
      <c r="E12" s="29">
        <f>('[5]НГРЭС Б2'!$N$255+'[5]НГРЭС Б2'!$O$255+'[5]НГРЭС Б2'!$P$255+'[5]НГРЭС Б2'!$R$255+'[5]НГРЭС Б2'!$S$255+'[5]НГРЭС Б2'!$T$255)/('[5]НГРЭС Б2'!$N$22+'[5]НГРЭС Б2'!$O$22+'[5]НГРЭС Б2'!$P$22+'[5]НГРЭС Б2'!$R$22+'[5]НГРЭС Б2'!$S$22+'[5]НГРЭС Б2'!$T$22)</f>
        <v>508.4109245582859</v>
      </c>
      <c r="F12" s="29">
        <f>'[42]2.2'!$G$170</f>
        <v>595.08042443559748</v>
      </c>
      <c r="G12" s="29">
        <f>'[42]2.1'!$G$170</f>
        <v>615.03735987554114</v>
      </c>
      <c r="H12" s="105">
        <f>'[42]2'!$G$170</f>
        <v>637.53059254466041</v>
      </c>
      <c r="I12" s="106"/>
    </row>
    <row r="13" spans="1:11" ht="12.75" customHeight="1">
      <c r="A13" s="50" t="s">
        <v>156</v>
      </c>
      <c r="B13" s="37" t="s">
        <v>157</v>
      </c>
      <c r="C13" s="36" t="s">
        <v>158</v>
      </c>
      <c r="D13" s="44"/>
      <c r="E13" s="44"/>
      <c r="F13" s="44"/>
      <c r="G13" s="44"/>
      <c r="H13" s="109"/>
      <c r="I13" s="110"/>
    </row>
    <row r="14" spans="1:11" ht="27.75" customHeight="1">
      <c r="A14" s="50" t="s">
        <v>159</v>
      </c>
      <c r="B14" s="37" t="s">
        <v>46</v>
      </c>
      <c r="C14" s="36" t="s">
        <v>47</v>
      </c>
      <c r="D14" s="111"/>
      <c r="E14" s="112"/>
      <c r="F14" s="111"/>
      <c r="G14" s="112"/>
      <c r="H14" s="111"/>
      <c r="I14" s="112"/>
    </row>
    <row r="15" spans="1:11" ht="26.25" customHeight="1">
      <c r="A15" s="50" t="s">
        <v>160</v>
      </c>
      <c r="B15" s="46" t="s">
        <v>48</v>
      </c>
      <c r="C15" s="36" t="s">
        <v>47</v>
      </c>
      <c r="D15" s="40"/>
      <c r="E15" s="40"/>
      <c r="F15" s="40"/>
      <c r="G15" s="40"/>
      <c r="H15" s="111"/>
      <c r="I15" s="110"/>
    </row>
    <row r="16" spans="1:11" ht="12.75" customHeight="1">
      <c r="A16" s="50" t="s">
        <v>161</v>
      </c>
      <c r="B16" s="46" t="s">
        <v>49</v>
      </c>
      <c r="C16" s="36" t="s">
        <v>47</v>
      </c>
      <c r="D16" s="44"/>
      <c r="E16" s="44"/>
      <c r="F16" s="44"/>
      <c r="G16" s="44"/>
      <c r="H16" s="44"/>
      <c r="I16" s="44"/>
    </row>
    <row r="17" spans="1:9" ht="12.75" customHeight="1">
      <c r="A17" s="50"/>
      <c r="B17" s="38" t="s">
        <v>50</v>
      </c>
      <c r="C17" s="36" t="s">
        <v>47</v>
      </c>
      <c r="D17" s="44"/>
      <c r="E17" s="44"/>
      <c r="F17" s="44"/>
      <c r="G17" s="44"/>
      <c r="H17" s="44"/>
      <c r="I17" s="44"/>
    </row>
    <row r="18" spans="1:9" ht="12.75" customHeight="1">
      <c r="A18" s="50"/>
      <c r="B18" s="38" t="s">
        <v>51</v>
      </c>
      <c r="C18" s="36" t="s">
        <v>47</v>
      </c>
      <c r="D18" s="44"/>
      <c r="E18" s="44"/>
      <c r="F18" s="44"/>
      <c r="G18" s="44"/>
      <c r="H18" s="44"/>
      <c r="I18" s="44"/>
    </row>
    <row r="19" spans="1:9" ht="12.75" customHeight="1">
      <c r="A19" s="50"/>
      <c r="B19" s="38" t="s">
        <v>52</v>
      </c>
      <c r="C19" s="36" t="s">
        <v>47</v>
      </c>
      <c r="D19" s="44"/>
      <c r="E19" s="44"/>
      <c r="F19" s="44"/>
      <c r="G19" s="44"/>
      <c r="H19" s="44"/>
      <c r="I19" s="44"/>
    </row>
    <row r="20" spans="1:9" ht="12.75" customHeight="1">
      <c r="A20" s="50"/>
      <c r="B20" s="38" t="s">
        <v>53</v>
      </c>
      <c r="C20" s="36" t="s">
        <v>47</v>
      </c>
      <c r="D20" s="44"/>
      <c r="E20" s="44"/>
      <c r="F20" s="44"/>
      <c r="G20" s="44"/>
      <c r="H20" s="44"/>
      <c r="I20" s="44"/>
    </row>
    <row r="21" spans="1:9" ht="12.75" customHeight="1">
      <c r="A21" s="50" t="s">
        <v>162</v>
      </c>
      <c r="B21" s="46" t="s">
        <v>54</v>
      </c>
      <c r="C21" s="36" t="s">
        <v>47</v>
      </c>
      <c r="D21" s="44"/>
      <c r="E21" s="44"/>
      <c r="F21" s="44"/>
      <c r="G21" s="44"/>
      <c r="H21" s="44"/>
      <c r="I21" s="44"/>
    </row>
    <row r="22" spans="1:9" ht="12.75" customHeight="1">
      <c r="A22" s="50" t="s">
        <v>163</v>
      </c>
      <c r="B22" s="37" t="s">
        <v>55</v>
      </c>
      <c r="C22" s="36" t="s">
        <v>32</v>
      </c>
      <c r="D22" s="44"/>
      <c r="E22" s="44"/>
      <c r="F22" s="44"/>
      <c r="G22" s="44"/>
      <c r="H22" s="44"/>
      <c r="I22" s="44"/>
    </row>
    <row r="23" spans="1:9" ht="25.5" customHeight="1">
      <c r="A23" s="50" t="s">
        <v>164</v>
      </c>
      <c r="B23" s="38" t="s">
        <v>56</v>
      </c>
      <c r="C23" s="50" t="s">
        <v>57</v>
      </c>
      <c r="D23" s="44"/>
      <c r="E23" s="44"/>
      <c r="F23" s="44"/>
      <c r="G23" s="44"/>
      <c r="H23" s="44"/>
      <c r="I23" s="44"/>
    </row>
    <row r="24" spans="1:9" ht="12.75" customHeight="1">
      <c r="A24" s="50" t="s">
        <v>165</v>
      </c>
      <c r="B24" s="46" t="s">
        <v>58</v>
      </c>
      <c r="C24" s="36" t="s">
        <v>47</v>
      </c>
      <c r="D24" s="44"/>
      <c r="E24" s="44"/>
      <c r="F24" s="44"/>
      <c r="G24" s="44"/>
      <c r="H24" s="44"/>
      <c r="I24" s="44"/>
    </row>
    <row r="25" spans="1:9" ht="12.75" customHeight="1">
      <c r="A25" s="50" t="s">
        <v>166</v>
      </c>
      <c r="B25" s="37" t="s">
        <v>59</v>
      </c>
      <c r="C25" s="36" t="s">
        <v>169</v>
      </c>
      <c r="D25" s="44"/>
      <c r="E25" s="44"/>
      <c r="F25" s="44"/>
      <c r="G25" s="44"/>
      <c r="H25" s="44"/>
      <c r="I25" s="44"/>
    </row>
    <row r="26" spans="1:9" ht="15" customHeight="1">
      <c r="A26" s="50"/>
      <c r="B26" s="38" t="s">
        <v>60</v>
      </c>
      <c r="C26" s="36" t="s">
        <v>169</v>
      </c>
      <c r="D26" s="44"/>
      <c r="E26" s="44"/>
      <c r="F26" s="44"/>
      <c r="G26" s="44"/>
      <c r="H26" s="44"/>
      <c r="I26" s="44"/>
    </row>
    <row r="27" spans="1:9">
      <c r="A27" s="50"/>
      <c r="B27" s="38" t="s">
        <v>61</v>
      </c>
      <c r="C27" s="36" t="s">
        <v>169</v>
      </c>
      <c r="D27" s="44"/>
      <c r="E27" s="44"/>
      <c r="F27" s="44"/>
      <c r="G27" s="44"/>
      <c r="H27" s="44"/>
      <c r="I27" s="44"/>
    </row>
    <row r="28" spans="1:9">
      <c r="A28" s="8"/>
      <c r="B28" s="33"/>
      <c r="C28" s="32"/>
      <c r="D28" s="33"/>
      <c r="E28" s="33"/>
      <c r="F28" s="33"/>
      <c r="G28" s="33"/>
      <c r="H28" s="33"/>
      <c r="I28" s="33"/>
    </row>
    <row r="29" spans="1:9">
      <c r="A29" s="98" t="s">
        <v>167</v>
      </c>
      <c r="B29" s="98"/>
      <c r="C29" s="98"/>
      <c r="D29" s="98"/>
      <c r="E29" s="98"/>
      <c r="F29" s="98"/>
      <c r="G29" s="98"/>
      <c r="H29" s="98"/>
      <c r="I29" s="98"/>
    </row>
    <row r="30" spans="1:9">
      <c r="A30" s="98" t="s">
        <v>172</v>
      </c>
      <c r="B30" s="98"/>
      <c r="C30" s="98"/>
      <c r="D30" s="98"/>
      <c r="E30" s="98"/>
      <c r="F30" s="98"/>
      <c r="G30" s="98"/>
      <c r="H30" s="98"/>
      <c r="I30" s="98"/>
    </row>
    <row r="31" spans="1:9">
      <c r="A31" s="98" t="s">
        <v>181</v>
      </c>
      <c r="B31" s="98"/>
      <c r="C31" s="98"/>
      <c r="D31" s="98"/>
      <c r="E31" s="98"/>
      <c r="F31" s="98"/>
      <c r="G31" s="98"/>
      <c r="H31" s="98"/>
      <c r="I31" s="98"/>
    </row>
    <row r="32" spans="1:9">
      <c r="A32" s="98"/>
      <c r="B32" s="98"/>
      <c r="C32" s="98"/>
      <c r="D32" s="98"/>
      <c r="E32" s="98"/>
      <c r="F32" s="98"/>
      <c r="G32" s="98"/>
      <c r="H32" s="98"/>
      <c r="I32" s="98"/>
    </row>
  </sheetData>
  <mergeCells count="20">
    <mergeCell ref="H15:I15"/>
    <mergeCell ref="A29:I29"/>
    <mergeCell ref="A30:I30"/>
    <mergeCell ref="A31:I31"/>
    <mergeCell ref="A32:I32"/>
    <mergeCell ref="A10:I10"/>
    <mergeCell ref="H11:I11"/>
    <mergeCell ref="H12:I12"/>
    <mergeCell ref="H13:I13"/>
    <mergeCell ref="D14:E14"/>
    <mergeCell ref="F14:G14"/>
    <mergeCell ref="H14:I14"/>
    <mergeCell ref="A4:I4"/>
    <mergeCell ref="A5:I5"/>
    <mergeCell ref="A7:A9"/>
    <mergeCell ref="B7:B9"/>
    <mergeCell ref="C7:C9"/>
    <mergeCell ref="D7:E7"/>
    <mergeCell ref="F7:G7"/>
    <mergeCell ref="H7:I7"/>
  </mergeCells>
  <conditionalFormatting sqref="K11">
    <cfRule type="containsText" dxfId="3" priority="1" operator="containsText" text="ложь">
      <formula>NOT(ISERROR(SEARCH("ложь",K11)))</formula>
    </cfRule>
    <cfRule type="containsText" dxfId="2" priority="2" operator="containsText" text="истина">
      <formula>NOT(ISERROR(SEARCH("истина",K11)))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D49" sqref="D49:F49"/>
      <selection pane="topRight" activeCell="D49" sqref="D49:F49"/>
      <selection pane="bottomLeft" activeCell="D49" sqref="D49:F49"/>
      <selection pane="bottomRight" activeCell="G32" sqref="G32"/>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176</v>
      </c>
    </row>
    <row r="2" spans="1:6">
      <c r="F2" s="34" t="s">
        <v>77</v>
      </c>
    </row>
    <row r="4" spans="1:6">
      <c r="A4" s="99" t="s">
        <v>39</v>
      </c>
      <c r="B4" s="99"/>
      <c r="C4" s="99"/>
      <c r="D4" s="99"/>
      <c r="E4" s="99"/>
      <c r="F4" s="99"/>
    </row>
    <row r="5" spans="1:6">
      <c r="A5" s="99" t="str">
        <f>Титульный!$C$24</f>
        <v>Няганская ГРЭС (БЛ 3) ДПМ</v>
      </c>
      <c r="B5" s="99"/>
      <c r="C5" s="99"/>
      <c r="D5" s="99"/>
      <c r="E5" s="99"/>
      <c r="F5" s="99"/>
    </row>
    <row r="6" spans="1:6">
      <c r="A6" s="49"/>
      <c r="B6" s="49"/>
      <c r="C6" s="49"/>
      <c r="D6" s="49"/>
      <c r="E6" s="49"/>
      <c r="F6" s="49"/>
    </row>
    <row r="7" spans="1:6" s="8" customFormat="1" ht="38.25">
      <c r="A7" s="100" t="s">
        <v>1</v>
      </c>
      <c r="B7" s="100" t="s">
        <v>9</v>
      </c>
      <c r="C7" s="100" t="s">
        <v>10</v>
      </c>
      <c r="D7" s="50" t="s">
        <v>149</v>
      </c>
      <c r="E7" s="50" t="s">
        <v>150</v>
      </c>
      <c r="F7" s="50" t="s">
        <v>151</v>
      </c>
    </row>
    <row r="8" spans="1:6" s="8" customFormat="1">
      <c r="A8" s="100"/>
      <c r="B8" s="100"/>
      <c r="C8" s="100"/>
      <c r="D8" s="50">
        <f>Титульный!$B$5-2</f>
        <v>2017</v>
      </c>
      <c r="E8" s="50">
        <f>Титульный!$B$5-1</f>
        <v>2018</v>
      </c>
      <c r="F8" s="50">
        <f>Титульный!$B$5</f>
        <v>2019</v>
      </c>
    </row>
    <row r="9" spans="1:6" s="8" customFormat="1">
      <c r="A9" s="100"/>
      <c r="B9" s="100"/>
      <c r="C9" s="100"/>
      <c r="D9" s="50" t="s">
        <v>68</v>
      </c>
      <c r="E9" s="50" t="s">
        <v>68</v>
      </c>
      <c r="F9" s="50" t="s">
        <v>68</v>
      </c>
    </row>
    <row r="10" spans="1:6">
      <c r="A10" s="36" t="s">
        <v>88</v>
      </c>
      <c r="B10" s="37" t="s">
        <v>33</v>
      </c>
      <c r="C10" s="36" t="s">
        <v>35</v>
      </c>
      <c r="D10" s="29">
        <f>[43]Год!$H$11</f>
        <v>444.6666666666668</v>
      </c>
      <c r="E10" s="29">
        <f>'[44]0.1'!$I$11</f>
        <v>424.60000000000008</v>
      </c>
      <c r="F10" s="29">
        <f>'[44]0.1'!$L$11</f>
        <v>454.69999999999987</v>
      </c>
    </row>
    <row r="11" spans="1:6" ht="38.25">
      <c r="A11" s="36" t="s">
        <v>89</v>
      </c>
      <c r="B11" s="37" t="s">
        <v>34</v>
      </c>
      <c r="C11" s="36" t="s">
        <v>35</v>
      </c>
      <c r="D11" s="29">
        <f>[43]Год!$H$12-[43]Год!$H$14</f>
        <v>432.68728602612799</v>
      </c>
      <c r="E11" s="29">
        <f>'[44]0.1'!$I$12</f>
        <v>414.48004998515466</v>
      </c>
      <c r="F11" s="29">
        <f>'[44]0.1'!$L$12</f>
        <v>445.15347295199052</v>
      </c>
    </row>
    <row r="12" spans="1:6">
      <c r="A12" s="36" t="s">
        <v>90</v>
      </c>
      <c r="B12" s="37" t="s">
        <v>91</v>
      </c>
      <c r="C12" s="36" t="s">
        <v>152</v>
      </c>
      <c r="D12" s="29">
        <f>'[5]НГРЭС Б3'!$E$7</f>
        <v>3137.018</v>
      </c>
      <c r="E12" s="29">
        <f>'[44]0.1'!$I$13</f>
        <v>3056.2483999999999</v>
      </c>
      <c r="F12" s="29">
        <f>'[44]0.1'!$L$13</f>
        <v>3056.2483999999999</v>
      </c>
    </row>
    <row r="13" spans="1:6">
      <c r="A13" s="36" t="s">
        <v>92</v>
      </c>
      <c r="B13" s="37" t="s">
        <v>93</v>
      </c>
      <c r="C13" s="36" t="s">
        <v>152</v>
      </c>
      <c r="D13" s="29">
        <f>'[5]НГРЭС Б3'!$E$22</f>
        <v>3078.387909</v>
      </c>
      <c r="E13" s="29">
        <f>'[44]0.1'!$I$15</f>
        <v>2991.4717000000001</v>
      </c>
      <c r="F13" s="29">
        <f>'[44]0.1'!$L$15</f>
        <v>2996.5392770783515</v>
      </c>
    </row>
    <row r="14" spans="1:6">
      <c r="A14" s="36" t="s">
        <v>94</v>
      </c>
      <c r="B14" s="37" t="s">
        <v>95</v>
      </c>
      <c r="C14" s="36" t="s">
        <v>96</v>
      </c>
      <c r="D14" s="29">
        <f>'[5]НГРЭС Б3'!$E$23</f>
        <v>34.079000000000001</v>
      </c>
      <c r="E14" s="29">
        <f>'[44]0.1'!$I$16</f>
        <v>15.618</v>
      </c>
      <c r="F14" s="29">
        <f>'[44]0.1'!$L$16</f>
        <v>39.663000000000004</v>
      </c>
    </row>
    <row r="15" spans="1:6">
      <c r="A15" s="36" t="s">
        <v>97</v>
      </c>
      <c r="B15" s="37" t="s">
        <v>98</v>
      </c>
      <c r="C15" s="36" t="s">
        <v>96</v>
      </c>
      <c r="D15" s="29">
        <f>'[5]НГРЭС Б3'!$E$26</f>
        <v>0</v>
      </c>
      <c r="E15" s="29">
        <f>'[44]0.1'!$I$17</f>
        <v>0</v>
      </c>
      <c r="F15" s="29">
        <f>'[44]0.1'!$L$17</f>
        <v>0</v>
      </c>
    </row>
    <row r="16" spans="1:6">
      <c r="A16" s="36" t="s">
        <v>99</v>
      </c>
      <c r="B16" s="37" t="s">
        <v>11</v>
      </c>
      <c r="C16" s="36" t="s">
        <v>100</v>
      </c>
      <c r="D16" s="40"/>
      <c r="E16" s="29">
        <f>'[44]0.1'!$I$43</f>
        <v>1723853.2260859755</v>
      </c>
      <c r="F16" s="29">
        <f>'[44]0.1'!$L$43</f>
        <v>1781632.7087328474</v>
      </c>
    </row>
    <row r="17" spans="1:8">
      <c r="A17" s="36" t="s">
        <v>101</v>
      </c>
      <c r="B17" s="38" t="s">
        <v>14</v>
      </c>
      <c r="C17" s="36" t="s">
        <v>100</v>
      </c>
      <c r="D17" s="40"/>
      <c r="E17" s="29">
        <f>'[44]0.1'!$G$43</f>
        <v>1723853.2260859755</v>
      </c>
      <c r="F17" s="29">
        <f>'[44]0.1'!$J$43</f>
        <v>1781632.7087328474</v>
      </c>
    </row>
    <row r="18" spans="1:8">
      <c r="A18" s="36" t="s">
        <v>102</v>
      </c>
      <c r="B18" s="38" t="s">
        <v>15</v>
      </c>
      <c r="C18" s="36" t="s">
        <v>100</v>
      </c>
      <c r="D18" s="40"/>
      <c r="E18" s="29">
        <f>'[44]0.1'!$H$43</f>
        <v>0</v>
      </c>
      <c r="F18" s="29">
        <f>'[44]0.1'!$K$43</f>
        <v>0</v>
      </c>
    </row>
    <row r="19" spans="1:8" ht="25.5">
      <c r="A19" s="36" t="s">
        <v>103</v>
      </c>
      <c r="B19" s="38" t="s">
        <v>16</v>
      </c>
      <c r="C19" s="36" t="s">
        <v>100</v>
      </c>
      <c r="D19" s="41"/>
      <c r="E19" s="41"/>
      <c r="F19" s="41"/>
    </row>
    <row r="20" spans="1:8">
      <c r="A20" s="36" t="s">
        <v>104</v>
      </c>
      <c r="B20" s="37" t="s">
        <v>105</v>
      </c>
      <c r="C20" s="36" t="s">
        <v>100</v>
      </c>
      <c r="D20" s="29">
        <f>'[5]НГРЭС Б3'!$E$235</f>
        <v>1535706.4835199998</v>
      </c>
      <c r="E20" s="29">
        <f>'[44]0.1'!$I$31</f>
        <v>1726762.5103359211</v>
      </c>
      <c r="F20" s="29">
        <f>'[44]0.1'!$L$31</f>
        <v>1794601.7756484053</v>
      </c>
      <c r="G20" s="47"/>
      <c r="H20" s="47"/>
    </row>
    <row r="21" spans="1:8">
      <c r="A21" s="36" t="s">
        <v>106</v>
      </c>
      <c r="B21" s="38" t="s">
        <v>107</v>
      </c>
      <c r="C21" s="36" t="s">
        <v>100</v>
      </c>
      <c r="D21" s="29">
        <f>'[5]НГРЭС Б3'!$E$255</f>
        <v>1535706.48352</v>
      </c>
      <c r="E21" s="29">
        <f>'[44]0.1'!$I$32</f>
        <v>1720502.5384642396</v>
      </c>
      <c r="F21" s="29">
        <f>'[44]0.1'!$L$32</f>
        <v>1778122.4277794103</v>
      </c>
      <c r="G21" s="47"/>
      <c r="H21" s="47"/>
    </row>
    <row r="22" spans="1:8" ht="25.5">
      <c r="A22" s="36"/>
      <c r="B22" s="38" t="s">
        <v>108</v>
      </c>
      <c r="C22" s="36" t="s">
        <v>36</v>
      </c>
      <c r="D22" s="29">
        <f>'[5]НГРЭС Б3'!$E$31</f>
        <v>213.33727221339066</v>
      </c>
      <c r="E22" s="29">
        <f>'[44]4'!$L$24</f>
        <v>218.1</v>
      </c>
      <c r="F22" s="29">
        <f>'[44]4'!$M$24</f>
        <v>217.85375809064715</v>
      </c>
      <c r="G22" s="47"/>
      <c r="H22" s="47"/>
    </row>
    <row r="23" spans="1:8">
      <c r="A23" s="36" t="s">
        <v>109</v>
      </c>
      <c r="B23" s="38" t="s">
        <v>110</v>
      </c>
      <c r="C23" s="36" t="s">
        <v>100</v>
      </c>
      <c r="D23" s="29">
        <f>D20-D21</f>
        <v>0</v>
      </c>
      <c r="E23" s="29">
        <f>'[44]0.1'!$I$33</f>
        <v>6259.9718716815114</v>
      </c>
      <c r="F23" s="29">
        <f>'[44]0.1'!$L$33</f>
        <v>16479.347868995043</v>
      </c>
    </row>
    <row r="24" spans="1:8">
      <c r="A24" s="36"/>
      <c r="B24" s="38" t="s">
        <v>111</v>
      </c>
      <c r="C24" s="36" t="s">
        <v>112</v>
      </c>
      <c r="D24" s="29">
        <f>'[5]НГРЭС Б3'!$E$36</f>
        <v>150.38586812993339</v>
      </c>
      <c r="E24" s="29">
        <f>'[44]4'!$L$28</f>
        <v>152.30000000000001</v>
      </c>
      <c r="F24" s="29">
        <f>'[44]4'!$M$28</f>
        <v>153.1573882459723</v>
      </c>
    </row>
    <row r="25" spans="1:8" ht="25.5">
      <c r="A25" s="36"/>
      <c r="B25" s="9" t="s">
        <v>113</v>
      </c>
      <c r="C25" s="36" t="s">
        <v>32</v>
      </c>
      <c r="D25" s="50" t="s">
        <v>195</v>
      </c>
      <c r="E25" s="67" t="s">
        <v>195</v>
      </c>
      <c r="F25" s="41"/>
    </row>
    <row r="26" spans="1:8">
      <c r="A26" s="36" t="s">
        <v>114</v>
      </c>
      <c r="B26" s="9" t="s">
        <v>17</v>
      </c>
      <c r="C26" s="36" t="s">
        <v>100</v>
      </c>
      <c r="D26" s="41"/>
      <c r="E26" s="41"/>
      <c r="F26" s="41"/>
    </row>
    <row r="27" spans="1:8" ht="25.5">
      <c r="A27" s="36" t="s">
        <v>115</v>
      </c>
      <c r="B27" s="9" t="s">
        <v>12</v>
      </c>
      <c r="C27" s="36" t="s">
        <v>32</v>
      </c>
      <c r="D27" s="41"/>
      <c r="E27" s="41"/>
      <c r="F27" s="41"/>
    </row>
    <row r="28" spans="1:8">
      <c r="A28" s="36" t="s">
        <v>116</v>
      </c>
      <c r="B28" s="38" t="s">
        <v>117</v>
      </c>
      <c r="C28" s="36" t="s">
        <v>118</v>
      </c>
      <c r="D28" s="41"/>
      <c r="E28" s="41"/>
      <c r="F28" s="41"/>
    </row>
    <row r="29" spans="1:8" ht="25.5">
      <c r="A29" s="39" t="s">
        <v>119</v>
      </c>
      <c r="B29" s="38" t="s">
        <v>120</v>
      </c>
      <c r="C29" s="50" t="s">
        <v>121</v>
      </c>
      <c r="D29" s="41"/>
      <c r="E29" s="41"/>
      <c r="F29" s="41"/>
    </row>
    <row r="30" spans="1:8" ht="25.5">
      <c r="A30" s="36" t="s">
        <v>122</v>
      </c>
      <c r="B30" s="38" t="s">
        <v>123</v>
      </c>
      <c r="C30" s="36" t="s">
        <v>32</v>
      </c>
      <c r="D30" s="41"/>
      <c r="E30" s="41"/>
      <c r="F30" s="41"/>
    </row>
    <row r="31" spans="1:8">
      <c r="A31" s="36" t="s">
        <v>124</v>
      </c>
      <c r="B31" s="9" t="s">
        <v>125</v>
      </c>
      <c r="C31" s="36" t="s">
        <v>100</v>
      </c>
      <c r="D31" s="29">
        <f>D32+D33+D34</f>
        <v>2897284.0444999998</v>
      </c>
      <c r="E31" s="41"/>
      <c r="F31" s="41"/>
      <c r="G31" s="47"/>
    </row>
    <row r="32" spans="1:8">
      <c r="A32" s="36" t="s">
        <v>126</v>
      </c>
      <c r="B32" s="38" t="s">
        <v>18</v>
      </c>
      <c r="C32" s="36" t="s">
        <v>100</v>
      </c>
      <c r="D32" s="29">
        <f>1632392367.51/1000</f>
        <v>1632392.36751</v>
      </c>
      <c r="E32" s="41"/>
      <c r="F32" s="41"/>
      <c r="G32" s="47"/>
    </row>
    <row r="33" spans="1:6">
      <c r="A33" s="36" t="s">
        <v>127</v>
      </c>
      <c r="B33" s="38" t="s">
        <v>19</v>
      </c>
      <c r="C33" s="36" t="s">
        <v>100</v>
      </c>
      <c r="D33" s="29">
        <f>1264891676.99/1000</f>
        <v>1264891.6769900001</v>
      </c>
      <c r="E33" s="41"/>
      <c r="F33" s="41"/>
    </row>
    <row r="34" spans="1:6" ht="25.5">
      <c r="A34" s="36" t="s">
        <v>128</v>
      </c>
      <c r="B34" s="38" t="s">
        <v>20</v>
      </c>
      <c r="C34" s="36" t="s">
        <v>100</v>
      </c>
      <c r="D34" s="29">
        <v>0</v>
      </c>
      <c r="E34" s="41"/>
      <c r="F34" s="41"/>
    </row>
    <row r="35" spans="1:6">
      <c r="A35" s="36" t="s">
        <v>179</v>
      </c>
      <c r="B35" s="38" t="s">
        <v>180</v>
      </c>
      <c r="C35" s="36" t="s">
        <v>100</v>
      </c>
      <c r="D35" s="29">
        <v>0</v>
      </c>
      <c r="E35" s="41"/>
      <c r="F35" s="41"/>
    </row>
    <row r="36" spans="1:6">
      <c r="A36" s="36" t="s">
        <v>129</v>
      </c>
      <c r="B36" s="9" t="s">
        <v>130</v>
      </c>
      <c r="C36" s="36" t="s">
        <v>100</v>
      </c>
      <c r="D36" s="41"/>
      <c r="E36" s="41"/>
      <c r="F36" s="41"/>
    </row>
    <row r="37" spans="1:6">
      <c r="A37" s="36" t="s">
        <v>131</v>
      </c>
      <c r="B37" s="38" t="s">
        <v>21</v>
      </c>
      <c r="C37" s="36" t="s">
        <v>100</v>
      </c>
      <c r="D37" s="41"/>
      <c r="E37" s="41"/>
      <c r="F37" s="41"/>
    </row>
    <row r="38" spans="1:6">
      <c r="A38" s="36" t="s">
        <v>132</v>
      </c>
      <c r="B38" s="38" t="s">
        <v>40</v>
      </c>
      <c r="C38" s="36" t="s">
        <v>100</v>
      </c>
      <c r="D38" s="41"/>
      <c r="E38" s="41"/>
      <c r="F38" s="41"/>
    </row>
    <row r="39" spans="1:6">
      <c r="A39" s="36" t="s">
        <v>133</v>
      </c>
      <c r="B39" s="9" t="s">
        <v>134</v>
      </c>
      <c r="C39" s="36" t="s">
        <v>100</v>
      </c>
      <c r="D39" s="41"/>
      <c r="E39" s="41"/>
      <c r="F39" s="41"/>
    </row>
    <row r="40" spans="1:6">
      <c r="A40" s="36" t="s">
        <v>135</v>
      </c>
      <c r="B40" s="38" t="s">
        <v>18</v>
      </c>
      <c r="C40" s="36" t="s">
        <v>100</v>
      </c>
      <c r="D40" s="41"/>
      <c r="E40" s="41"/>
      <c r="F40" s="41"/>
    </row>
    <row r="41" spans="1:6">
      <c r="A41" s="36" t="s">
        <v>136</v>
      </c>
      <c r="B41" s="38" t="s">
        <v>19</v>
      </c>
      <c r="C41" s="36" t="s">
        <v>100</v>
      </c>
      <c r="D41" s="41"/>
      <c r="E41" s="41"/>
      <c r="F41" s="41"/>
    </row>
    <row r="42" spans="1:6" ht="25.5">
      <c r="A42" s="36" t="s">
        <v>137</v>
      </c>
      <c r="B42" s="38" t="s">
        <v>20</v>
      </c>
      <c r="C42" s="36" t="s">
        <v>100</v>
      </c>
      <c r="D42" s="41"/>
      <c r="E42" s="41"/>
      <c r="F42" s="41"/>
    </row>
    <row r="43" spans="1:6" ht="25.5">
      <c r="A43" s="36" t="s">
        <v>138</v>
      </c>
      <c r="B43" s="9" t="s">
        <v>139</v>
      </c>
      <c r="C43" s="36" t="s">
        <v>100</v>
      </c>
      <c r="D43" s="41"/>
      <c r="E43" s="41"/>
      <c r="F43" s="41"/>
    </row>
    <row r="44" spans="1:6">
      <c r="A44" s="36" t="s">
        <v>140</v>
      </c>
      <c r="B44" s="38" t="s">
        <v>18</v>
      </c>
      <c r="C44" s="36" t="s">
        <v>100</v>
      </c>
      <c r="D44" s="41"/>
      <c r="E44" s="41"/>
      <c r="F44" s="41"/>
    </row>
    <row r="45" spans="1:6">
      <c r="A45" s="36" t="s">
        <v>141</v>
      </c>
      <c r="B45" s="38" t="s">
        <v>19</v>
      </c>
      <c r="C45" s="36" t="s">
        <v>100</v>
      </c>
      <c r="D45" s="41"/>
      <c r="E45" s="41"/>
      <c r="F45" s="41"/>
    </row>
    <row r="46" spans="1:6" ht="25.5">
      <c r="A46" s="36" t="s">
        <v>142</v>
      </c>
      <c r="B46" s="38" t="s">
        <v>20</v>
      </c>
      <c r="C46" s="36" t="s">
        <v>100</v>
      </c>
      <c r="D46" s="41"/>
      <c r="E46" s="41"/>
      <c r="F46" s="41"/>
    </row>
    <row r="47" spans="1:6">
      <c r="A47" s="36" t="s">
        <v>143</v>
      </c>
      <c r="B47" s="9" t="s">
        <v>178</v>
      </c>
      <c r="C47" s="36" t="s">
        <v>100</v>
      </c>
      <c r="D47" s="52">
        <v>12200091</v>
      </c>
      <c r="E47" s="41"/>
      <c r="F47" s="41"/>
    </row>
    <row r="48" spans="1:6" ht="25.5">
      <c r="A48" s="36" t="s">
        <v>144</v>
      </c>
      <c r="B48" s="9" t="s">
        <v>177</v>
      </c>
      <c r="C48" s="36" t="s">
        <v>145</v>
      </c>
      <c r="D48" s="31">
        <f>19896480/65281414</f>
        <v>0.30478016300320948</v>
      </c>
      <c r="E48" s="41"/>
      <c r="F48" s="41"/>
    </row>
    <row r="49" spans="1:6" ht="38.25">
      <c r="A49" s="36" t="s">
        <v>146</v>
      </c>
      <c r="B49" s="9" t="s">
        <v>13</v>
      </c>
      <c r="C49" s="36" t="s">
        <v>32</v>
      </c>
      <c r="D49" s="100" t="s">
        <v>147</v>
      </c>
      <c r="E49" s="100"/>
      <c r="F49" s="100"/>
    </row>
    <row r="50" spans="1:6">
      <c r="B50" s="8"/>
    </row>
    <row r="51" spans="1:6">
      <c r="A51" s="98" t="s">
        <v>148</v>
      </c>
      <c r="B51" s="98"/>
      <c r="C51" s="98"/>
      <c r="D51" s="98"/>
      <c r="E51" s="98"/>
      <c r="F51" s="98"/>
    </row>
    <row r="52" spans="1:6">
      <c r="A52" s="98" t="s">
        <v>186</v>
      </c>
      <c r="B52" s="98"/>
      <c r="C52" s="98"/>
      <c r="D52" s="98"/>
      <c r="E52" s="98"/>
      <c r="F52" s="98"/>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activeCell="H12" sqref="H12:I12"/>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175</v>
      </c>
    </row>
    <row r="2" spans="1:11">
      <c r="F2" s="27"/>
      <c r="I2" s="26" t="s">
        <v>77</v>
      </c>
    </row>
    <row r="3" spans="1:11">
      <c r="F3" s="27"/>
    </row>
    <row r="4" spans="1:11">
      <c r="A4" s="79" t="s">
        <v>41</v>
      </c>
      <c r="B4" s="97"/>
      <c r="C4" s="97"/>
      <c r="D4" s="97"/>
      <c r="E4" s="97"/>
      <c r="F4" s="97"/>
      <c r="G4" s="97"/>
      <c r="H4" s="97"/>
      <c r="I4" s="97"/>
    </row>
    <row r="5" spans="1:11">
      <c r="A5" s="79" t="str">
        <f>Титульный!$C$24</f>
        <v>Няганская ГРЭС (БЛ 3) ДПМ</v>
      </c>
      <c r="B5" s="97"/>
      <c r="C5" s="97"/>
      <c r="D5" s="97"/>
      <c r="E5" s="97"/>
      <c r="F5" s="97"/>
      <c r="G5" s="97"/>
      <c r="H5" s="97"/>
      <c r="I5" s="97"/>
    </row>
    <row r="7" spans="1:11" s="3" customFormat="1" ht="32.25" customHeight="1">
      <c r="A7" s="101" t="s">
        <v>87</v>
      </c>
      <c r="B7" s="101" t="s">
        <v>9</v>
      </c>
      <c r="C7" s="101" t="s">
        <v>153</v>
      </c>
      <c r="D7" s="101" t="s">
        <v>173</v>
      </c>
      <c r="E7" s="101"/>
      <c r="F7" s="101" t="s">
        <v>150</v>
      </c>
      <c r="G7" s="101"/>
      <c r="H7" s="101" t="s">
        <v>151</v>
      </c>
      <c r="I7" s="101"/>
      <c r="K7" s="48"/>
    </row>
    <row r="8" spans="1:11" s="3" customFormat="1">
      <c r="A8" s="101"/>
      <c r="B8" s="101"/>
      <c r="C8" s="101"/>
      <c r="D8" s="42">
        <f>Титульный!$B$5-2</f>
        <v>2017</v>
      </c>
      <c r="E8" s="43" t="s">
        <v>68</v>
      </c>
      <c r="F8" s="42">
        <f>Титульный!$B$5-1</f>
        <v>2018</v>
      </c>
      <c r="G8" s="43" t="s">
        <v>68</v>
      </c>
      <c r="H8" s="42">
        <f>Титульный!$B$5</f>
        <v>2019</v>
      </c>
      <c r="I8" s="43" t="s">
        <v>68</v>
      </c>
      <c r="K8" s="48"/>
    </row>
    <row r="9" spans="1:11" s="3" customFormat="1">
      <c r="A9" s="101"/>
      <c r="B9" s="101"/>
      <c r="C9" s="101"/>
      <c r="D9" s="51" t="s">
        <v>22</v>
      </c>
      <c r="E9" s="51" t="s">
        <v>23</v>
      </c>
      <c r="F9" s="51" t="s">
        <v>22</v>
      </c>
      <c r="G9" s="51" t="s">
        <v>23</v>
      </c>
      <c r="H9" s="51" t="s">
        <v>22</v>
      </c>
      <c r="I9" s="51" t="s">
        <v>23</v>
      </c>
    </row>
    <row r="10" spans="1:11" ht="12.75" customHeight="1">
      <c r="A10" s="102" t="s">
        <v>170</v>
      </c>
      <c r="B10" s="103"/>
      <c r="C10" s="103"/>
      <c r="D10" s="103"/>
      <c r="E10" s="103"/>
      <c r="F10" s="103"/>
      <c r="G10" s="103"/>
      <c r="H10" s="103"/>
      <c r="I10" s="104"/>
    </row>
    <row r="11" spans="1:11" ht="12.75" customHeight="1">
      <c r="A11" s="50" t="s">
        <v>154</v>
      </c>
      <c r="B11" s="37" t="s">
        <v>155</v>
      </c>
      <c r="C11" s="36" t="s">
        <v>168</v>
      </c>
      <c r="D11" s="29">
        <f>'[7]Утв. тарифы на ЭЭ и ЭМ'!$E$28</f>
        <v>547.62</v>
      </c>
      <c r="E11" s="29">
        <f>'[7]Утв. тарифы на ЭЭ и ЭМ'!$F$28</f>
        <v>557.58000000000004</v>
      </c>
      <c r="F11" s="29">
        <f>E11</f>
        <v>557.58000000000004</v>
      </c>
      <c r="G11" s="29">
        <f>'[44]0.1'!$G$20</f>
        <v>576.25590310146526</v>
      </c>
      <c r="H11" s="105">
        <f>'[44]0.1'!$L$20</f>
        <v>594.56344268911198</v>
      </c>
      <c r="I11" s="106"/>
      <c r="K11" s="65" t="b">
        <f>ROUND([9]Лист1!$D$216,1)=ROUND(H11,1)</f>
        <v>1</v>
      </c>
    </row>
    <row r="12" spans="1:11" ht="12.75" customHeight="1">
      <c r="A12" s="50"/>
      <c r="B12" s="45" t="s">
        <v>171</v>
      </c>
      <c r="C12" s="36" t="s">
        <v>168</v>
      </c>
      <c r="D12" s="29">
        <f>('[5]НГРЭС Б3'!$F$255+'[5]НГРЭС Б3'!$G$255+'[5]НГРЭС Б3'!$H$255+'[5]НГРЭС Б3'!$J$255+'[5]НГРЭС Б3'!$K$255+'[5]НГРЭС Б3'!$L$255)/('[5]НГРЭС Б3'!$F$22+'[5]НГРЭС Б3'!$G$22+'[5]НГРЭС Б3'!$H$22+'[5]НГРЭС Б3'!$J$22+'[5]НГРЭС Б3'!$K$22+'[5]НГРЭС Б3'!$L$22)</f>
        <v>499.54759427323063</v>
      </c>
      <c r="E12" s="29">
        <f>('[5]НГРЭС Б3'!$N$255+'[5]НГРЭС Б3'!$O$255+'[5]НГРЭС Б3'!$P$255+'[5]НГРЭС Б3'!$R$255+'[5]НГРЭС Б3'!$S$255+'[5]НГРЭС Б3'!$T$255)/('[5]НГРЭС Б3'!$N$22+'[5]НГРЭС Б3'!$O$22+'[5]НГРЭС Б3'!$P$22+'[5]НГРЭС Б3'!$R$22+'[5]НГРЭС Б3'!$S$22+'[5]НГРЭС Б3'!$T$22)</f>
        <v>498.38679578765073</v>
      </c>
      <c r="F12" s="29">
        <f>'[44]2.2'!$G$170</f>
        <v>556.50035795972633</v>
      </c>
      <c r="G12" s="29">
        <f>'[44]2.1'!$G$170</f>
        <v>575.13582310146523</v>
      </c>
      <c r="H12" s="105">
        <f>'[44]2'!$G$170</f>
        <v>593.39199768911192</v>
      </c>
      <c r="I12" s="106"/>
    </row>
    <row r="13" spans="1:11" ht="12.75" customHeight="1">
      <c r="A13" s="50" t="s">
        <v>156</v>
      </c>
      <c r="B13" s="37" t="s">
        <v>157</v>
      </c>
      <c r="C13" s="36" t="s">
        <v>158</v>
      </c>
      <c r="D13" s="44"/>
      <c r="E13" s="44"/>
      <c r="F13" s="44"/>
      <c r="G13" s="44"/>
      <c r="H13" s="109"/>
      <c r="I13" s="110"/>
    </row>
    <row r="14" spans="1:11" ht="27.75" customHeight="1">
      <c r="A14" s="50" t="s">
        <v>159</v>
      </c>
      <c r="B14" s="37" t="s">
        <v>46</v>
      </c>
      <c r="C14" s="36" t="s">
        <v>47</v>
      </c>
      <c r="D14" s="111"/>
      <c r="E14" s="112"/>
      <c r="F14" s="111"/>
      <c r="G14" s="112"/>
      <c r="H14" s="111"/>
      <c r="I14" s="112"/>
    </row>
    <row r="15" spans="1:11" ht="26.25" customHeight="1">
      <c r="A15" s="50" t="s">
        <v>160</v>
      </c>
      <c r="B15" s="46" t="s">
        <v>48</v>
      </c>
      <c r="C15" s="36" t="s">
        <v>47</v>
      </c>
      <c r="D15" s="40"/>
      <c r="E15" s="40"/>
      <c r="F15" s="40"/>
      <c r="G15" s="40"/>
      <c r="H15" s="111"/>
      <c r="I15" s="110"/>
    </row>
    <row r="16" spans="1:11" ht="12.75" customHeight="1">
      <c r="A16" s="50" t="s">
        <v>161</v>
      </c>
      <c r="B16" s="46" t="s">
        <v>49</v>
      </c>
      <c r="C16" s="36" t="s">
        <v>47</v>
      </c>
      <c r="D16" s="44"/>
      <c r="E16" s="44"/>
      <c r="F16" s="44"/>
      <c r="G16" s="44"/>
      <c r="H16" s="44"/>
      <c r="I16" s="44"/>
    </row>
    <row r="17" spans="1:9" ht="12.75" customHeight="1">
      <c r="A17" s="50"/>
      <c r="B17" s="38" t="s">
        <v>50</v>
      </c>
      <c r="C17" s="36" t="s">
        <v>47</v>
      </c>
      <c r="D17" s="44"/>
      <c r="E17" s="44"/>
      <c r="F17" s="44"/>
      <c r="G17" s="44"/>
      <c r="H17" s="44"/>
      <c r="I17" s="44"/>
    </row>
    <row r="18" spans="1:9" ht="12.75" customHeight="1">
      <c r="A18" s="50"/>
      <c r="B18" s="38" t="s">
        <v>51</v>
      </c>
      <c r="C18" s="36" t="s">
        <v>47</v>
      </c>
      <c r="D18" s="44"/>
      <c r="E18" s="44"/>
      <c r="F18" s="44"/>
      <c r="G18" s="44"/>
      <c r="H18" s="44"/>
      <c r="I18" s="44"/>
    </row>
    <row r="19" spans="1:9" ht="12.75" customHeight="1">
      <c r="A19" s="50"/>
      <c r="B19" s="38" t="s">
        <v>52</v>
      </c>
      <c r="C19" s="36" t="s">
        <v>47</v>
      </c>
      <c r="D19" s="44"/>
      <c r="E19" s="44"/>
      <c r="F19" s="44"/>
      <c r="G19" s="44"/>
      <c r="H19" s="44"/>
      <c r="I19" s="44"/>
    </row>
    <row r="20" spans="1:9" ht="12.75" customHeight="1">
      <c r="A20" s="50"/>
      <c r="B20" s="38" t="s">
        <v>53</v>
      </c>
      <c r="C20" s="36" t="s">
        <v>47</v>
      </c>
      <c r="D20" s="44"/>
      <c r="E20" s="44"/>
      <c r="F20" s="44"/>
      <c r="G20" s="44"/>
      <c r="H20" s="44"/>
      <c r="I20" s="44"/>
    </row>
    <row r="21" spans="1:9" ht="12.75" customHeight="1">
      <c r="A21" s="50" t="s">
        <v>162</v>
      </c>
      <c r="B21" s="46" t="s">
        <v>54</v>
      </c>
      <c r="C21" s="36" t="s">
        <v>47</v>
      </c>
      <c r="D21" s="44"/>
      <c r="E21" s="44"/>
      <c r="F21" s="44"/>
      <c r="G21" s="44"/>
      <c r="H21" s="44"/>
      <c r="I21" s="44"/>
    </row>
    <row r="22" spans="1:9" ht="12.75" customHeight="1">
      <c r="A22" s="50" t="s">
        <v>163</v>
      </c>
      <c r="B22" s="37" t="s">
        <v>55</v>
      </c>
      <c r="C22" s="36" t="s">
        <v>32</v>
      </c>
      <c r="D22" s="44"/>
      <c r="E22" s="44"/>
      <c r="F22" s="44"/>
      <c r="G22" s="44"/>
      <c r="H22" s="44"/>
      <c r="I22" s="44"/>
    </row>
    <row r="23" spans="1:9" ht="25.5" customHeight="1">
      <c r="A23" s="50" t="s">
        <v>164</v>
      </c>
      <c r="B23" s="38" t="s">
        <v>56</v>
      </c>
      <c r="C23" s="50" t="s">
        <v>57</v>
      </c>
      <c r="D23" s="44"/>
      <c r="E23" s="44"/>
      <c r="F23" s="44"/>
      <c r="G23" s="44"/>
      <c r="H23" s="44"/>
      <c r="I23" s="44"/>
    </row>
    <row r="24" spans="1:9" ht="12.75" customHeight="1">
      <c r="A24" s="50" t="s">
        <v>165</v>
      </c>
      <c r="B24" s="46" t="s">
        <v>58</v>
      </c>
      <c r="C24" s="36" t="s">
        <v>47</v>
      </c>
      <c r="D24" s="44"/>
      <c r="E24" s="44"/>
      <c r="F24" s="44"/>
      <c r="G24" s="44"/>
      <c r="H24" s="44"/>
      <c r="I24" s="44"/>
    </row>
    <row r="25" spans="1:9" ht="12.75" customHeight="1">
      <c r="A25" s="50" t="s">
        <v>166</v>
      </c>
      <c r="B25" s="37" t="s">
        <v>59</v>
      </c>
      <c r="C25" s="36" t="s">
        <v>169</v>
      </c>
      <c r="D25" s="44"/>
      <c r="E25" s="44"/>
      <c r="F25" s="44"/>
      <c r="G25" s="44"/>
      <c r="H25" s="44"/>
      <c r="I25" s="44"/>
    </row>
    <row r="26" spans="1:9" ht="15" customHeight="1">
      <c r="A26" s="50"/>
      <c r="B26" s="38" t="s">
        <v>60</v>
      </c>
      <c r="C26" s="36" t="s">
        <v>169</v>
      </c>
      <c r="D26" s="44"/>
      <c r="E26" s="44"/>
      <c r="F26" s="44"/>
      <c r="G26" s="44"/>
      <c r="H26" s="44"/>
      <c r="I26" s="44"/>
    </row>
    <row r="27" spans="1:9">
      <c r="A27" s="50"/>
      <c r="B27" s="38" t="s">
        <v>61</v>
      </c>
      <c r="C27" s="36" t="s">
        <v>169</v>
      </c>
      <c r="D27" s="44"/>
      <c r="E27" s="44"/>
      <c r="F27" s="44"/>
      <c r="G27" s="44"/>
      <c r="H27" s="44"/>
      <c r="I27" s="44"/>
    </row>
    <row r="28" spans="1:9">
      <c r="A28" s="8"/>
      <c r="B28" s="33"/>
      <c r="C28" s="32"/>
      <c r="D28" s="33"/>
      <c r="E28" s="33"/>
      <c r="F28" s="33"/>
      <c r="G28" s="33"/>
      <c r="H28" s="33"/>
      <c r="I28" s="33"/>
    </row>
    <row r="29" spans="1:9">
      <c r="A29" s="98" t="s">
        <v>167</v>
      </c>
      <c r="B29" s="98"/>
      <c r="C29" s="98"/>
      <c r="D29" s="98"/>
      <c r="E29" s="98"/>
      <c r="F29" s="98"/>
      <c r="G29" s="98"/>
      <c r="H29" s="98"/>
      <c r="I29" s="98"/>
    </row>
    <row r="30" spans="1:9">
      <c r="A30" s="98" t="s">
        <v>172</v>
      </c>
      <c r="B30" s="98"/>
      <c r="C30" s="98"/>
      <c r="D30" s="98"/>
      <c r="E30" s="98"/>
      <c r="F30" s="98"/>
      <c r="G30" s="98"/>
      <c r="H30" s="98"/>
      <c r="I30" s="98"/>
    </row>
    <row r="31" spans="1:9">
      <c r="A31" s="98" t="s">
        <v>181</v>
      </c>
      <c r="B31" s="98"/>
      <c r="C31" s="98"/>
      <c r="D31" s="98"/>
      <c r="E31" s="98"/>
      <c r="F31" s="98"/>
      <c r="G31" s="98"/>
      <c r="H31" s="98"/>
      <c r="I31" s="98"/>
    </row>
    <row r="32" spans="1:9">
      <c r="A32" s="98"/>
      <c r="B32" s="98"/>
      <c r="C32" s="98"/>
      <c r="D32" s="98"/>
      <c r="E32" s="98"/>
      <c r="F32" s="98"/>
      <c r="G32" s="98"/>
      <c r="H32" s="98"/>
      <c r="I32" s="98"/>
    </row>
  </sheetData>
  <mergeCells count="20">
    <mergeCell ref="H15:I15"/>
    <mergeCell ref="A29:I29"/>
    <mergeCell ref="A30:I30"/>
    <mergeCell ref="A31:I31"/>
    <mergeCell ref="A32:I32"/>
    <mergeCell ref="A10:I10"/>
    <mergeCell ref="H11:I11"/>
    <mergeCell ref="H12:I12"/>
    <mergeCell ref="H13:I13"/>
    <mergeCell ref="D14:E14"/>
    <mergeCell ref="F14:G14"/>
    <mergeCell ref="H14:I14"/>
    <mergeCell ref="A4:I4"/>
    <mergeCell ref="A5:I5"/>
    <mergeCell ref="A7:A9"/>
    <mergeCell ref="B7:B9"/>
    <mergeCell ref="C7:C9"/>
    <mergeCell ref="D7:E7"/>
    <mergeCell ref="F7:G7"/>
    <mergeCell ref="H7:I7"/>
  </mergeCells>
  <conditionalFormatting sqref="K11">
    <cfRule type="containsText" dxfId="1" priority="1" operator="containsText" text="ложь">
      <formula>NOT(ISERROR(SEARCH("ложь",K11)))</formula>
    </cfRule>
    <cfRule type="containsText" dxfId="0" priority="2" operator="containsText" text="истина">
      <formula>NOT(ISERROR(SEARCH("истина",K11)))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D49" sqref="D49:F49"/>
      <selection pane="topRight" activeCell="D49" sqref="D49:F49"/>
      <selection pane="bottomLeft" activeCell="D49" sqref="D49:F49"/>
      <selection pane="bottomRight" activeCell="D48" sqref="D48"/>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176</v>
      </c>
    </row>
    <row r="2" spans="1:6">
      <c r="F2" s="34" t="s">
        <v>77</v>
      </c>
    </row>
    <row r="4" spans="1:6">
      <c r="A4" s="99" t="s">
        <v>39</v>
      </c>
      <c r="B4" s="99"/>
      <c r="C4" s="99"/>
      <c r="D4" s="99"/>
      <c r="E4" s="99"/>
      <c r="F4" s="99"/>
    </row>
    <row r="5" spans="1:6">
      <c r="A5" s="99" t="str">
        <f>Титульный!$C$9</f>
        <v>Аргаяшская ТЭЦ без ДПМ/НВ</v>
      </c>
      <c r="B5" s="99"/>
      <c r="C5" s="99"/>
      <c r="D5" s="99"/>
      <c r="E5" s="99"/>
      <c r="F5" s="99"/>
    </row>
    <row r="6" spans="1:6">
      <c r="A6" s="49"/>
      <c r="B6" s="49"/>
      <c r="C6" s="49"/>
      <c r="D6" s="49"/>
      <c r="E6" s="49"/>
      <c r="F6" s="49"/>
    </row>
    <row r="7" spans="1:6" s="8" customFormat="1" ht="38.25">
      <c r="A7" s="100" t="s">
        <v>1</v>
      </c>
      <c r="B7" s="100" t="s">
        <v>9</v>
      </c>
      <c r="C7" s="100" t="s">
        <v>10</v>
      </c>
      <c r="D7" s="50" t="s">
        <v>149</v>
      </c>
      <c r="E7" s="50" t="s">
        <v>150</v>
      </c>
      <c r="F7" s="50" t="s">
        <v>151</v>
      </c>
    </row>
    <row r="8" spans="1:6" s="8" customFormat="1">
      <c r="A8" s="100"/>
      <c r="B8" s="100"/>
      <c r="C8" s="100"/>
      <c r="D8" s="50">
        <f>Титульный!$B$5-2</f>
        <v>2017</v>
      </c>
      <c r="E8" s="50">
        <f>Титульный!$B$5-1</f>
        <v>2018</v>
      </c>
      <c r="F8" s="50">
        <f>Титульный!$B$5</f>
        <v>2019</v>
      </c>
    </row>
    <row r="9" spans="1:6" s="8" customFormat="1">
      <c r="A9" s="100"/>
      <c r="B9" s="100"/>
      <c r="C9" s="100"/>
      <c r="D9" s="50" t="s">
        <v>68</v>
      </c>
      <c r="E9" s="50" t="s">
        <v>68</v>
      </c>
      <c r="F9" s="50" t="s">
        <v>68</v>
      </c>
    </row>
    <row r="10" spans="1:6">
      <c r="A10" s="36" t="s">
        <v>88</v>
      </c>
      <c r="B10" s="37" t="s">
        <v>33</v>
      </c>
      <c r="C10" s="36" t="s">
        <v>35</v>
      </c>
      <c r="D10" s="29">
        <f>[2]Год!$H$11+[3]Год!$H$11</f>
        <v>195</v>
      </c>
      <c r="E10" s="41"/>
      <c r="F10" s="29">
        <f>'[4]0.1'!$L$11</f>
        <v>195</v>
      </c>
    </row>
    <row r="11" spans="1:6" ht="38.25">
      <c r="A11" s="36" t="s">
        <v>89</v>
      </c>
      <c r="B11" s="37" t="s">
        <v>34</v>
      </c>
      <c r="C11" s="36" t="s">
        <v>35</v>
      </c>
      <c r="D11" s="29">
        <f>[2]Год!$H$12+[3]Год!$H$12-[3]Год!$H$14-[2]Год!$H$14</f>
        <v>163.64733913637139</v>
      </c>
      <c r="E11" s="41"/>
      <c r="F11" s="29">
        <f>'[4]0.1'!$L$12</f>
        <v>166.91666922336361</v>
      </c>
    </row>
    <row r="12" spans="1:6">
      <c r="A12" s="36" t="s">
        <v>90</v>
      </c>
      <c r="B12" s="37" t="s">
        <v>91</v>
      </c>
      <c r="C12" s="36" t="s">
        <v>152</v>
      </c>
      <c r="D12" s="29">
        <f>[5]АТЭЦ!$E$7</f>
        <v>894.95299999999975</v>
      </c>
      <c r="E12" s="41"/>
      <c r="F12" s="29">
        <f>'[4]0.1'!$L$13</f>
        <v>996.20300000000009</v>
      </c>
    </row>
    <row r="13" spans="1:6">
      <c r="A13" s="36" t="s">
        <v>92</v>
      </c>
      <c r="B13" s="37" t="s">
        <v>93</v>
      </c>
      <c r="C13" s="36" t="s">
        <v>152</v>
      </c>
      <c r="D13" s="29">
        <f>[5]АТЭЦ!$E$22</f>
        <v>773.78845199999967</v>
      </c>
      <c r="E13" s="41"/>
      <c r="F13" s="29">
        <f>'[4]0.1'!$L$15</f>
        <v>884.31012300000009</v>
      </c>
    </row>
    <row r="14" spans="1:6">
      <c r="A14" s="36" t="s">
        <v>94</v>
      </c>
      <c r="B14" s="37" t="s">
        <v>95</v>
      </c>
      <c r="C14" s="36" t="s">
        <v>96</v>
      </c>
      <c r="D14" s="29">
        <f>[5]АТЭЦ!$E$23</f>
        <v>1591.9130000000002</v>
      </c>
      <c r="E14" s="41"/>
      <c r="F14" s="29">
        <f>'[4]0.1'!$L$16</f>
        <v>1604.6680000000003</v>
      </c>
    </row>
    <row r="15" spans="1:6">
      <c r="A15" s="36" t="s">
        <v>97</v>
      </c>
      <c r="B15" s="37" t="s">
        <v>98</v>
      </c>
      <c r="C15" s="36" t="s">
        <v>96</v>
      </c>
      <c r="D15" s="29">
        <f>[5]АТЭЦ!$E$26</f>
        <v>1588.8906000000002</v>
      </c>
      <c r="E15" s="41"/>
      <c r="F15" s="29">
        <f>'[4]0.1'!$L$17</f>
        <v>1601.6280000000004</v>
      </c>
    </row>
    <row r="16" spans="1:6">
      <c r="A16" s="36" t="s">
        <v>99</v>
      </c>
      <c r="B16" s="37" t="s">
        <v>11</v>
      </c>
      <c r="C16" s="36" t="s">
        <v>100</v>
      </c>
      <c r="D16" s="40"/>
      <c r="E16" s="41"/>
      <c r="F16" s="29">
        <f>'[4]0.1'!$L$43</f>
        <v>1794360.0422684941</v>
      </c>
    </row>
    <row r="17" spans="1:8">
      <c r="A17" s="36" t="s">
        <v>101</v>
      </c>
      <c r="B17" s="38" t="s">
        <v>14</v>
      </c>
      <c r="C17" s="36" t="s">
        <v>100</v>
      </c>
      <c r="D17" s="40"/>
      <c r="E17" s="41"/>
      <c r="F17" s="29">
        <f>'[4]0.1'!$J$43</f>
        <v>1006143.8446970071</v>
      </c>
    </row>
    <row r="18" spans="1:8">
      <c r="A18" s="36" t="s">
        <v>102</v>
      </c>
      <c r="B18" s="38" t="s">
        <v>15</v>
      </c>
      <c r="C18" s="36" t="s">
        <v>100</v>
      </c>
      <c r="D18" s="40"/>
      <c r="E18" s="41"/>
      <c r="F18" s="29">
        <f>'[4]0.1'!$K$43</f>
        <v>788216.19757148693</v>
      </c>
    </row>
    <row r="19" spans="1:8" ht="25.5">
      <c r="A19" s="36" t="s">
        <v>103</v>
      </c>
      <c r="B19" s="38" t="s">
        <v>16</v>
      </c>
      <c r="C19" s="36" t="s">
        <v>100</v>
      </c>
      <c r="D19" s="41"/>
      <c r="E19" s="41"/>
      <c r="F19" s="41"/>
    </row>
    <row r="20" spans="1:8">
      <c r="A20" s="36" t="s">
        <v>104</v>
      </c>
      <c r="B20" s="37" t="s">
        <v>105</v>
      </c>
      <c r="C20" s="36" t="s">
        <v>100</v>
      </c>
      <c r="D20" s="29">
        <f>[5]АТЭЦ!$E$235</f>
        <v>1542402.1967699998</v>
      </c>
      <c r="E20" s="41"/>
      <c r="F20" s="29">
        <f>'[4]0.1'!$L$31</f>
        <v>1862424.1989781561</v>
      </c>
      <c r="G20" s="47"/>
      <c r="H20" s="47"/>
    </row>
    <row r="21" spans="1:8">
      <c r="A21" s="36" t="s">
        <v>106</v>
      </c>
      <c r="B21" s="38" t="s">
        <v>107</v>
      </c>
      <c r="C21" s="36" t="s">
        <v>100</v>
      </c>
      <c r="D21" s="29">
        <f>[5]АТЭЦ!$E$255</f>
        <v>774754.45902000007</v>
      </c>
      <c r="E21" s="41"/>
      <c r="F21" s="29">
        <f>'[4]0.1'!$L$32</f>
        <v>997888.26809708925</v>
      </c>
      <c r="G21" s="47"/>
      <c r="H21" s="47"/>
    </row>
    <row r="22" spans="1:8" ht="25.5">
      <c r="A22" s="36"/>
      <c r="B22" s="38" t="s">
        <v>108</v>
      </c>
      <c r="C22" s="36" t="s">
        <v>36</v>
      </c>
      <c r="D22" s="29">
        <f>[5]АТЭЦ!$E$31</f>
        <v>360.65391245589598</v>
      </c>
      <c r="E22" s="41"/>
      <c r="F22" s="29">
        <f>'[4]4'!$M$25</f>
        <v>356.6971224942713</v>
      </c>
      <c r="G22" s="47"/>
      <c r="H22" s="47"/>
    </row>
    <row r="23" spans="1:8">
      <c r="A23" s="36" t="s">
        <v>109</v>
      </c>
      <c r="B23" s="38" t="s">
        <v>110</v>
      </c>
      <c r="C23" s="36" t="s">
        <v>100</v>
      </c>
      <c r="D23" s="29">
        <f>[5]АТЭЦ!$E$254</f>
        <v>767647.73774999997</v>
      </c>
      <c r="E23" s="41"/>
      <c r="F23" s="29">
        <f>'[4]0.1'!$L$33</f>
        <v>864535.93088106683</v>
      </c>
    </row>
    <row r="24" spans="1:8">
      <c r="A24" s="36"/>
      <c r="B24" s="38" t="s">
        <v>111</v>
      </c>
      <c r="C24" s="36" t="s">
        <v>112</v>
      </c>
      <c r="D24" s="29">
        <f>[5]АТЭЦ!$E$36</f>
        <v>173.13948689407019</v>
      </c>
      <c r="E24" s="41"/>
      <c r="F24" s="29">
        <f>'[4]4'!$M$28</f>
        <v>171.78231514643528</v>
      </c>
    </row>
    <row r="25" spans="1:8" ht="25.5">
      <c r="A25" s="36"/>
      <c r="B25" s="9" t="s">
        <v>113</v>
      </c>
      <c r="C25" s="36" t="s">
        <v>32</v>
      </c>
      <c r="D25" s="67" t="s">
        <v>195</v>
      </c>
      <c r="E25" s="41"/>
      <c r="F25" s="41"/>
    </row>
    <row r="26" spans="1:8">
      <c r="A26" s="36" t="s">
        <v>114</v>
      </c>
      <c r="B26" s="9" t="s">
        <v>17</v>
      </c>
      <c r="C26" s="36" t="s">
        <v>100</v>
      </c>
      <c r="D26" s="41"/>
      <c r="E26" s="41"/>
      <c r="F26" s="41"/>
    </row>
    <row r="27" spans="1:8" ht="25.5">
      <c r="A27" s="36" t="s">
        <v>115</v>
      </c>
      <c r="B27" s="9" t="s">
        <v>12</v>
      </c>
      <c r="C27" s="36" t="s">
        <v>32</v>
      </c>
      <c r="D27" s="41"/>
      <c r="E27" s="41"/>
      <c r="F27" s="41"/>
    </row>
    <row r="28" spans="1:8">
      <c r="A28" s="36" t="s">
        <v>116</v>
      </c>
      <c r="B28" s="38" t="s">
        <v>117</v>
      </c>
      <c r="C28" s="36" t="s">
        <v>118</v>
      </c>
      <c r="D28" s="41"/>
      <c r="E28" s="41"/>
      <c r="F28" s="41"/>
    </row>
    <row r="29" spans="1:8" ht="25.5">
      <c r="A29" s="39" t="s">
        <v>119</v>
      </c>
      <c r="B29" s="38" t="s">
        <v>120</v>
      </c>
      <c r="C29" s="50" t="s">
        <v>121</v>
      </c>
      <c r="D29" s="41"/>
      <c r="E29" s="41"/>
      <c r="F29" s="41"/>
    </row>
    <row r="30" spans="1:8" ht="25.5">
      <c r="A30" s="36" t="s">
        <v>122</v>
      </c>
      <c r="B30" s="38" t="s">
        <v>123</v>
      </c>
      <c r="C30" s="36" t="s">
        <v>32</v>
      </c>
      <c r="D30" s="41"/>
      <c r="E30" s="41"/>
      <c r="F30" s="41"/>
    </row>
    <row r="31" spans="1:8">
      <c r="A31" s="36" t="s">
        <v>124</v>
      </c>
      <c r="B31" s="9" t="s">
        <v>125</v>
      </c>
      <c r="C31" s="36" t="s">
        <v>100</v>
      </c>
      <c r="D31" s="29">
        <f>([6]АТЭЦ!$E$12/1000)</f>
        <v>2713486.5042499993</v>
      </c>
      <c r="E31" s="41"/>
      <c r="F31" s="41"/>
    </row>
    <row r="32" spans="1:8">
      <c r="A32" s="36" t="s">
        <v>126</v>
      </c>
      <c r="B32" s="38" t="s">
        <v>18</v>
      </c>
      <c r="C32" s="36" t="s">
        <v>100</v>
      </c>
      <c r="D32" s="29">
        <f>[6]АТЭЦ!$J$12/1000</f>
        <v>949744.42937999999</v>
      </c>
      <c r="E32" s="41"/>
      <c r="F32" s="41"/>
    </row>
    <row r="33" spans="1:6">
      <c r="A33" s="36" t="s">
        <v>127</v>
      </c>
      <c r="B33" s="38" t="s">
        <v>19</v>
      </c>
      <c r="C33" s="36" t="s">
        <v>100</v>
      </c>
      <c r="D33" s="29">
        <f>[6]АТЭЦ!$R$12/1000</f>
        <v>519516.64197000011</v>
      </c>
      <c r="E33" s="41"/>
      <c r="F33" s="41"/>
    </row>
    <row r="34" spans="1:6" ht="25.5">
      <c r="A34" s="36" t="s">
        <v>128</v>
      </c>
      <c r="B34" s="38" t="s">
        <v>20</v>
      </c>
      <c r="C34" s="36" t="s">
        <v>100</v>
      </c>
      <c r="D34" s="29">
        <f>[6]АТЭЦ!$Z$12/1000</f>
        <v>1202738.1973100002</v>
      </c>
      <c r="E34" s="41"/>
      <c r="F34" s="41"/>
    </row>
    <row r="35" spans="1:6">
      <c r="A35" s="36" t="s">
        <v>179</v>
      </c>
      <c r="B35" s="38" t="s">
        <v>180</v>
      </c>
      <c r="C35" s="36" t="s">
        <v>100</v>
      </c>
      <c r="D35" s="29">
        <f>([6]АТЭЦ!$AP$12+[6]АТЭЦ!$AT$12+[6]АТЭЦ!$AX$12)/1000</f>
        <v>41487.235589999982</v>
      </c>
      <c r="E35" s="41"/>
      <c r="F35" s="41"/>
    </row>
    <row r="36" spans="1:6">
      <c r="A36" s="36" t="s">
        <v>129</v>
      </c>
      <c r="B36" s="9" t="s">
        <v>130</v>
      </c>
      <c r="C36" s="36" t="s">
        <v>100</v>
      </c>
      <c r="D36" s="41"/>
      <c r="E36" s="41"/>
      <c r="F36" s="41"/>
    </row>
    <row r="37" spans="1:6">
      <c r="A37" s="36" t="s">
        <v>131</v>
      </c>
      <c r="B37" s="38" t="s">
        <v>21</v>
      </c>
      <c r="C37" s="36" t="s">
        <v>100</v>
      </c>
      <c r="D37" s="41"/>
      <c r="E37" s="41"/>
      <c r="F37" s="41"/>
    </row>
    <row r="38" spans="1:6">
      <c r="A38" s="36" t="s">
        <v>132</v>
      </c>
      <c r="B38" s="38" t="s">
        <v>40</v>
      </c>
      <c r="C38" s="36" t="s">
        <v>100</v>
      </c>
      <c r="D38" s="41"/>
      <c r="E38" s="41"/>
      <c r="F38" s="41"/>
    </row>
    <row r="39" spans="1:6">
      <c r="A39" s="36" t="s">
        <v>133</v>
      </c>
      <c r="B39" s="9" t="s">
        <v>134</v>
      </c>
      <c r="C39" s="36" t="s">
        <v>100</v>
      </c>
      <c r="D39" s="41"/>
      <c r="E39" s="41"/>
      <c r="F39" s="41"/>
    </row>
    <row r="40" spans="1:6">
      <c r="A40" s="36" t="s">
        <v>135</v>
      </c>
      <c r="B40" s="38" t="s">
        <v>18</v>
      </c>
      <c r="C40" s="36" t="s">
        <v>100</v>
      </c>
      <c r="D40" s="41"/>
      <c r="E40" s="41"/>
      <c r="F40" s="41"/>
    </row>
    <row r="41" spans="1:6">
      <c r="A41" s="36" t="s">
        <v>136</v>
      </c>
      <c r="B41" s="38" t="s">
        <v>19</v>
      </c>
      <c r="C41" s="36" t="s">
        <v>100</v>
      </c>
      <c r="D41" s="41"/>
      <c r="E41" s="41"/>
      <c r="F41" s="41"/>
    </row>
    <row r="42" spans="1:6" ht="25.5">
      <c r="A42" s="36" t="s">
        <v>137</v>
      </c>
      <c r="B42" s="38" t="s">
        <v>20</v>
      </c>
      <c r="C42" s="36" t="s">
        <v>100</v>
      </c>
      <c r="D42" s="41"/>
      <c r="E42" s="41"/>
      <c r="F42" s="41"/>
    </row>
    <row r="43" spans="1:6" ht="25.5">
      <c r="A43" s="36" t="s">
        <v>138</v>
      </c>
      <c r="B43" s="9" t="s">
        <v>139</v>
      </c>
      <c r="C43" s="36" t="s">
        <v>100</v>
      </c>
      <c r="D43" s="41"/>
      <c r="E43" s="41"/>
      <c r="F43" s="41"/>
    </row>
    <row r="44" spans="1:6">
      <c r="A44" s="36" t="s">
        <v>140</v>
      </c>
      <c r="B44" s="38" t="s">
        <v>18</v>
      </c>
      <c r="C44" s="36" t="s">
        <v>100</v>
      </c>
      <c r="D44" s="41"/>
      <c r="E44" s="41"/>
      <c r="F44" s="41"/>
    </row>
    <row r="45" spans="1:6">
      <c r="A45" s="36" t="s">
        <v>141</v>
      </c>
      <c r="B45" s="38" t="s">
        <v>19</v>
      </c>
      <c r="C45" s="36" t="s">
        <v>100</v>
      </c>
      <c r="D45" s="41"/>
      <c r="E45" s="41"/>
      <c r="F45" s="41"/>
    </row>
    <row r="46" spans="1:6" ht="25.5">
      <c r="A46" s="36" t="s">
        <v>142</v>
      </c>
      <c r="B46" s="38" t="s">
        <v>20</v>
      </c>
      <c r="C46" s="36" t="s">
        <v>100</v>
      </c>
      <c r="D46" s="41"/>
      <c r="E46" s="41"/>
      <c r="F46" s="41"/>
    </row>
    <row r="47" spans="1:6">
      <c r="A47" s="36" t="s">
        <v>143</v>
      </c>
      <c r="B47" s="9" t="s">
        <v>178</v>
      </c>
      <c r="C47" s="36" t="s">
        <v>100</v>
      </c>
      <c r="D47" s="52">
        <v>12200091</v>
      </c>
      <c r="E47" s="41"/>
      <c r="F47" s="41"/>
    </row>
    <row r="48" spans="1:6" ht="25.5">
      <c r="A48" s="36" t="s">
        <v>144</v>
      </c>
      <c r="B48" s="9" t="s">
        <v>177</v>
      </c>
      <c r="C48" s="36" t="s">
        <v>145</v>
      </c>
      <c r="D48" s="31">
        <f>19896480/65281414</f>
        <v>0.30478016300320948</v>
      </c>
      <c r="E48" s="41"/>
      <c r="F48" s="41"/>
    </row>
    <row r="49" spans="1:6" ht="38.25">
      <c r="A49" s="36" t="s">
        <v>146</v>
      </c>
      <c r="B49" s="9" t="s">
        <v>13</v>
      </c>
      <c r="C49" s="36" t="s">
        <v>32</v>
      </c>
      <c r="D49" s="100" t="s">
        <v>147</v>
      </c>
      <c r="E49" s="100"/>
      <c r="F49" s="100"/>
    </row>
    <row r="50" spans="1:6">
      <c r="B50" s="8"/>
    </row>
    <row r="51" spans="1:6">
      <c r="A51" s="98" t="s">
        <v>148</v>
      </c>
      <c r="B51" s="98"/>
      <c r="C51" s="98"/>
      <c r="D51" s="98"/>
      <c r="E51" s="98"/>
      <c r="F51" s="98"/>
    </row>
    <row r="52" spans="1:6">
      <c r="A52" s="98" t="s">
        <v>186</v>
      </c>
      <c r="B52" s="98"/>
      <c r="C52" s="98"/>
      <c r="D52" s="98"/>
      <c r="E52" s="98"/>
      <c r="F52" s="98"/>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sqref="A1:XFD1048576"/>
      <selection pane="topRight" sqref="A1:XFD1048576"/>
      <selection pane="bottomLeft" sqref="A1:XFD1048576"/>
      <selection pane="bottomRight" activeCell="M15" sqref="M15"/>
    </sheetView>
  </sheetViews>
  <sheetFormatPr defaultRowHeight="12.75" outlineLevelCol="1"/>
  <cols>
    <col min="1" max="1" width="5.7109375" style="3" customWidth="1"/>
    <col min="2" max="2" width="44.140625" style="12" customWidth="1"/>
    <col min="3" max="3" width="14.28515625" style="27" customWidth="1"/>
    <col min="4" max="9" width="19" style="12" customWidth="1"/>
    <col min="10" max="10" width="9.140625" style="12"/>
    <col min="11" max="11" width="12.8554687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175</v>
      </c>
    </row>
    <row r="2" spans="1:11">
      <c r="B2" s="64"/>
      <c r="F2" s="27"/>
      <c r="I2" s="26" t="s">
        <v>77</v>
      </c>
    </row>
    <row r="3" spans="1:11">
      <c r="F3" s="27"/>
    </row>
    <row r="4" spans="1:11">
      <c r="A4" s="79" t="s">
        <v>41</v>
      </c>
      <c r="B4" s="97"/>
      <c r="C4" s="97"/>
      <c r="D4" s="97"/>
      <c r="E4" s="97"/>
      <c r="F4" s="97"/>
      <c r="G4" s="97"/>
      <c r="H4" s="97"/>
      <c r="I4" s="97"/>
    </row>
    <row r="5" spans="1:11">
      <c r="A5" s="79" t="str">
        <f>Титульный!$C$9</f>
        <v>Аргаяшская ТЭЦ без ДПМ/НВ</v>
      </c>
      <c r="B5" s="97"/>
      <c r="C5" s="97"/>
      <c r="D5" s="97"/>
      <c r="E5" s="97"/>
      <c r="F5" s="97"/>
      <c r="G5" s="97"/>
      <c r="H5" s="97"/>
      <c r="I5" s="97"/>
    </row>
    <row r="7" spans="1:11" s="3" customFormat="1" ht="32.25" customHeight="1">
      <c r="A7" s="101" t="s">
        <v>87</v>
      </c>
      <c r="B7" s="101" t="s">
        <v>9</v>
      </c>
      <c r="C7" s="101" t="s">
        <v>153</v>
      </c>
      <c r="D7" s="101" t="s">
        <v>173</v>
      </c>
      <c r="E7" s="101"/>
      <c r="F7" s="101" t="s">
        <v>150</v>
      </c>
      <c r="G7" s="101"/>
      <c r="H7" s="101" t="s">
        <v>151</v>
      </c>
      <c r="I7" s="101"/>
      <c r="K7" s="48"/>
    </row>
    <row r="8" spans="1:11" s="3" customFormat="1">
      <c r="A8" s="101"/>
      <c r="B8" s="101"/>
      <c r="C8" s="101"/>
      <c r="D8" s="42">
        <f>Титульный!$B$5-2</f>
        <v>2017</v>
      </c>
      <c r="E8" s="43" t="s">
        <v>68</v>
      </c>
      <c r="F8" s="42">
        <f>Титульный!$B$5-1</f>
        <v>2018</v>
      </c>
      <c r="G8" s="43" t="s">
        <v>68</v>
      </c>
      <c r="H8" s="42">
        <f>Титульный!$B$5</f>
        <v>2019</v>
      </c>
      <c r="I8" s="43" t="s">
        <v>68</v>
      </c>
      <c r="K8" s="48"/>
    </row>
    <row r="9" spans="1:11" s="3" customFormat="1">
      <c r="A9" s="101"/>
      <c r="B9" s="101"/>
      <c r="C9" s="101"/>
      <c r="D9" s="51" t="s">
        <v>22</v>
      </c>
      <c r="E9" s="51" t="s">
        <v>23</v>
      </c>
      <c r="F9" s="51" t="s">
        <v>22</v>
      </c>
      <c r="G9" s="51" t="s">
        <v>23</v>
      </c>
      <c r="H9" s="51" t="s">
        <v>22</v>
      </c>
      <c r="I9" s="51" t="s">
        <v>23</v>
      </c>
    </row>
    <row r="10" spans="1:11" ht="12.75" customHeight="1">
      <c r="A10" s="102" t="s">
        <v>170</v>
      </c>
      <c r="B10" s="103"/>
      <c r="C10" s="103"/>
      <c r="D10" s="103"/>
      <c r="E10" s="103"/>
      <c r="F10" s="103"/>
      <c r="G10" s="103"/>
      <c r="H10" s="103"/>
      <c r="I10" s="104"/>
    </row>
    <row r="11" spans="1:11" ht="12.75" customHeight="1">
      <c r="A11" s="50" t="s">
        <v>154</v>
      </c>
      <c r="B11" s="37" t="s">
        <v>188</v>
      </c>
      <c r="C11" s="36" t="s">
        <v>168</v>
      </c>
      <c r="D11" s="29">
        <f>'[7]Утв. тарифы на ЭЭ и ЭМ'!$E$11</f>
        <v>1176.06</v>
      </c>
      <c r="E11" s="29">
        <f>'[7]Утв. тарифы на ЭЭ и ЭМ'!$F$11</f>
        <v>1207.73</v>
      </c>
      <c r="F11" s="29">
        <f>E11</f>
        <v>1207.73</v>
      </c>
      <c r="G11" s="29">
        <f>'[8]Утв. тарифы на ЭЭ и ЭМ'!$E$11</f>
        <v>1243.43</v>
      </c>
      <c r="H11" s="105">
        <f>'[4]0.1'!$L$20</f>
        <v>1137.7726190487215</v>
      </c>
      <c r="I11" s="106"/>
      <c r="K11" s="65" t="b">
        <f>ROUND([9]Лист1!$D$18,1)=ROUND(H11,1)</f>
        <v>1</v>
      </c>
    </row>
    <row r="12" spans="1:11" ht="12.75" customHeight="1">
      <c r="A12" s="50"/>
      <c r="B12" s="45" t="s">
        <v>171</v>
      </c>
      <c r="C12" s="36" t="s">
        <v>168</v>
      </c>
      <c r="D12" s="29">
        <f>([5]АТЭЦ!$F$255+[5]АТЭЦ!$G$255+[5]АТЭЦ!$H$255+[5]АТЭЦ!$J$255+[5]АТЭЦ!$K$255+[5]АТЭЦ!$L$255)/([5]АТЭЦ!$F$22+[5]АТЭЦ!$G$22+[5]АТЭЦ!$H$22+[5]АТЭЦ!$J$22+[5]АТЭЦ!$K$22+[5]АТЭЦ!$L$22)</f>
        <v>884.67773395941731</v>
      </c>
      <c r="E12" s="29">
        <f>([5]АТЭЦ!$N$255+[5]АТЭЦ!$O$255+[5]АТЭЦ!$P$255+[5]АТЭЦ!$R$255+[5]АТЭЦ!$S$255+[5]АТЭЦ!$T$255)/([5]АТЭЦ!$N$22+[5]АТЭЦ!$O$22+[5]АТЭЦ!$P$22+[5]АТЭЦ!$R$22+[5]АТЭЦ!$S$22+[5]АТЭЦ!$T$22)</f>
        <v>1149.0038624779597</v>
      </c>
      <c r="F12" s="29">
        <f>E12</f>
        <v>1149.0038624779597</v>
      </c>
      <c r="G12" s="29">
        <f>'[10]0'!$M$65</f>
        <v>1242.2774012290345</v>
      </c>
      <c r="H12" s="105">
        <f>'[4]2'!$G$181</f>
        <v>1128.4370065919613</v>
      </c>
      <c r="I12" s="106"/>
    </row>
    <row r="13" spans="1:11" ht="12.75" customHeight="1">
      <c r="A13" s="50" t="s">
        <v>156</v>
      </c>
      <c r="B13" s="37" t="s">
        <v>189</v>
      </c>
      <c r="C13" s="36" t="s">
        <v>158</v>
      </c>
      <c r="D13" s="29">
        <f>'[7]Утв. тарифы на ЭЭ и ЭМ'!$G$11</f>
        <v>209664.47</v>
      </c>
      <c r="E13" s="29">
        <f>'[7]Утв. тарифы на ЭЭ и ЭМ'!$H$11</f>
        <v>209664.47</v>
      </c>
      <c r="F13" s="29">
        <f>E13</f>
        <v>209664.47</v>
      </c>
      <c r="G13" s="29">
        <f>'[8]Утв. тарифы на ЭЭ и ЭМ'!$G$11</f>
        <v>209664.47</v>
      </c>
      <c r="H13" s="105">
        <f>'[4]0.1'!$L$21</f>
        <v>393517.81602507108</v>
      </c>
      <c r="I13" s="106"/>
      <c r="K13" s="65" t="b">
        <f>ROUND([9]Лист1!$E$18,1)=ROUND(H13,1)</f>
        <v>1</v>
      </c>
    </row>
    <row r="14" spans="1:11" ht="27.75" customHeight="1">
      <c r="A14" s="50" t="s">
        <v>159</v>
      </c>
      <c r="B14" s="37" t="s">
        <v>46</v>
      </c>
      <c r="C14" s="36" t="s">
        <v>47</v>
      </c>
      <c r="D14" s="105">
        <f>[11]Индексация_ЧО!$AT$111</f>
        <v>641.67249991295569</v>
      </c>
      <c r="E14" s="106"/>
      <c r="F14" s="105">
        <f>[11]Индексация_ЧО!$BB$111</f>
        <v>641.67586385126731</v>
      </c>
      <c r="G14" s="106">
        <f>[11]Индексация_ТО!$AQ$78</f>
        <v>559.33580645154927</v>
      </c>
      <c r="H14" s="105">
        <f>'[12]6.1. ЧО'!$I$30</f>
        <v>817.87725374884599</v>
      </c>
      <c r="I14" s="106"/>
    </row>
    <row r="15" spans="1:11" ht="26.25" customHeight="1">
      <c r="A15" s="50" t="s">
        <v>160</v>
      </c>
      <c r="B15" s="46" t="s">
        <v>48</v>
      </c>
      <c r="C15" s="36" t="s">
        <v>47</v>
      </c>
      <c r="D15" s="29">
        <f>'[13]Утв. тарифы на ТЭ и ТН'!N7</f>
        <v>632.27</v>
      </c>
      <c r="E15" s="29">
        <f>'[13]Утв. тарифы на ТЭ и ТН'!O7</f>
        <v>632.27</v>
      </c>
      <c r="F15" s="29">
        <f>'[13]Утв. тарифы на ТЭ и ТН'!P7</f>
        <v>632.27</v>
      </c>
      <c r="G15" s="29">
        <f>'[13]Утв. тарифы на ТЭ и ТН'!Q7</f>
        <v>632.27</v>
      </c>
      <c r="H15" s="105">
        <f>'[12]6.1. ЧО'!$I$31</f>
        <v>800.20856502218442</v>
      </c>
      <c r="I15" s="108"/>
    </row>
    <row r="16" spans="1:11" ht="12.75" customHeight="1">
      <c r="A16" s="50" t="s">
        <v>161</v>
      </c>
      <c r="B16" s="46" t="s">
        <v>49</v>
      </c>
      <c r="C16" s="36" t="s">
        <v>47</v>
      </c>
      <c r="D16" s="44"/>
      <c r="E16" s="44"/>
      <c r="F16" s="44"/>
      <c r="G16" s="44"/>
      <c r="H16" s="44"/>
      <c r="I16" s="44"/>
    </row>
    <row r="17" spans="1:9" ht="12.75" customHeight="1">
      <c r="A17" s="50"/>
      <c r="B17" s="38" t="s">
        <v>50</v>
      </c>
      <c r="C17" s="36" t="s">
        <v>47</v>
      </c>
      <c r="D17" s="44"/>
      <c r="E17" s="44"/>
      <c r="F17" s="44"/>
      <c r="G17" s="44"/>
      <c r="H17" s="44"/>
      <c r="I17" s="44"/>
    </row>
    <row r="18" spans="1:9" ht="12.75" customHeight="1">
      <c r="A18" s="50"/>
      <c r="B18" s="38" t="s">
        <v>51</v>
      </c>
      <c r="C18" s="36" t="s">
        <v>47</v>
      </c>
      <c r="D18" s="44"/>
      <c r="E18" s="44"/>
      <c r="F18" s="44"/>
      <c r="G18" s="44"/>
      <c r="H18" s="44"/>
      <c r="I18" s="44"/>
    </row>
    <row r="19" spans="1:9" ht="12.75" customHeight="1">
      <c r="A19" s="50"/>
      <c r="B19" s="38" t="s">
        <v>52</v>
      </c>
      <c r="C19" s="36" t="s">
        <v>47</v>
      </c>
      <c r="D19" s="44"/>
      <c r="E19" s="44"/>
      <c r="F19" s="44"/>
      <c r="G19" s="44"/>
      <c r="H19" s="44"/>
      <c r="I19" s="44"/>
    </row>
    <row r="20" spans="1:9" ht="12.75" customHeight="1">
      <c r="A20" s="50"/>
      <c r="B20" s="38" t="s">
        <v>53</v>
      </c>
      <c r="C20" s="36" t="s">
        <v>47</v>
      </c>
      <c r="D20" s="29">
        <f>'[13]Утв. тарифы на ТЭ и ТН'!N12</f>
        <v>662.85</v>
      </c>
      <c r="E20" s="29">
        <f>'[13]Утв. тарифы на ТЭ и ТН'!O12</f>
        <v>662.85</v>
      </c>
      <c r="F20" s="29">
        <f>'[13]Утв. тарифы на ТЭ и ТН'!P12</f>
        <v>662.85</v>
      </c>
      <c r="G20" s="29">
        <f>'[13]Утв. тарифы на ТЭ и ТН'!Q12</f>
        <v>662.85</v>
      </c>
      <c r="H20" s="105">
        <f>'[12]6.1. ЧО'!$I$35</f>
        <v>857.81446224660056</v>
      </c>
      <c r="I20" s="108"/>
    </row>
    <row r="21" spans="1:9" ht="12.75" customHeight="1">
      <c r="A21" s="50" t="s">
        <v>162</v>
      </c>
      <c r="B21" s="46" t="s">
        <v>54</v>
      </c>
      <c r="C21" s="36" t="s">
        <v>47</v>
      </c>
      <c r="D21" s="44"/>
      <c r="E21" s="44"/>
      <c r="F21" s="44"/>
      <c r="G21" s="44"/>
      <c r="H21" s="44"/>
      <c r="I21" s="44"/>
    </row>
    <row r="22" spans="1:9" ht="12.75" customHeight="1">
      <c r="A22" s="50" t="s">
        <v>163</v>
      </c>
      <c r="B22" s="37" t="s">
        <v>55</v>
      </c>
      <c r="C22" s="36" t="s">
        <v>32</v>
      </c>
      <c r="D22" s="44"/>
      <c r="E22" s="44"/>
      <c r="F22" s="44"/>
      <c r="G22" s="44"/>
      <c r="H22" s="44"/>
      <c r="I22" s="44"/>
    </row>
    <row r="23" spans="1:9" ht="25.5" customHeight="1">
      <c r="A23" s="50" t="s">
        <v>164</v>
      </c>
      <c r="B23" s="38" t="s">
        <v>56</v>
      </c>
      <c r="C23" s="50" t="s">
        <v>57</v>
      </c>
      <c r="D23" s="44"/>
      <c r="E23" s="44"/>
      <c r="F23" s="44"/>
      <c r="G23" s="44"/>
      <c r="H23" s="44"/>
      <c r="I23" s="44"/>
    </row>
    <row r="24" spans="1:9" ht="12.75" customHeight="1">
      <c r="A24" s="50" t="s">
        <v>165</v>
      </c>
      <c r="B24" s="46" t="s">
        <v>58</v>
      </c>
      <c r="C24" s="36" t="s">
        <v>47</v>
      </c>
      <c r="D24" s="44"/>
      <c r="E24" s="44"/>
      <c r="F24" s="44"/>
      <c r="G24" s="44"/>
      <c r="H24" s="44"/>
      <c r="I24" s="44"/>
    </row>
    <row r="25" spans="1:9" ht="12.75" customHeight="1">
      <c r="A25" s="50" t="s">
        <v>166</v>
      </c>
      <c r="B25" s="37" t="s">
        <v>59</v>
      </c>
      <c r="C25" s="36" t="s">
        <v>169</v>
      </c>
      <c r="D25" s="44"/>
      <c r="E25" s="44"/>
      <c r="F25" s="44"/>
      <c r="G25" s="44"/>
      <c r="H25" s="44"/>
      <c r="I25" s="44"/>
    </row>
    <row r="26" spans="1:9" ht="15" customHeight="1">
      <c r="A26" s="50"/>
      <c r="B26" s="38" t="s">
        <v>60</v>
      </c>
      <c r="C26" s="36" t="s">
        <v>169</v>
      </c>
      <c r="D26" s="29">
        <f>'[13]Утв. тарифы на ТЭ и ТН'!N22</f>
        <v>15.73</v>
      </c>
      <c r="E26" s="29">
        <f>'[13]Утв. тарифы на ТЭ и ТН'!O22</f>
        <v>15.73</v>
      </c>
      <c r="F26" s="29">
        <f>'[13]Утв. тарифы на ТЭ и ТН'!P22</f>
        <v>15.73</v>
      </c>
      <c r="G26" s="29">
        <f>'[13]Утв. тарифы на ТЭ и ТН'!Q22</f>
        <v>20.45</v>
      </c>
      <c r="H26" s="105">
        <f>[12]ТН_ЧО!$E$51</f>
        <v>35.330106384937373</v>
      </c>
      <c r="I26" s="108"/>
    </row>
    <row r="27" spans="1:9">
      <c r="A27" s="50"/>
      <c r="B27" s="38" t="s">
        <v>61</v>
      </c>
      <c r="C27" s="36" t="s">
        <v>169</v>
      </c>
      <c r="D27" s="29">
        <f>'[13]Утв. тарифы на ТЭ и ТН'!N31</f>
        <v>29.09</v>
      </c>
      <c r="E27" s="29">
        <f>'[13]Утв. тарифы на ТЭ и ТН'!O31</f>
        <v>29.09</v>
      </c>
      <c r="F27" s="29">
        <f>'[13]Утв. тарифы на ТЭ и ТН'!P31</f>
        <v>29.09</v>
      </c>
      <c r="G27" s="29">
        <f>'[13]Утв. тарифы на ТЭ и ТН'!Q31</f>
        <v>35.74</v>
      </c>
      <c r="H27" s="105">
        <f>[12]ТН_ЧО!$E$52</f>
        <v>49.029050493490026</v>
      </c>
      <c r="I27" s="108"/>
    </row>
    <row r="28" spans="1:9">
      <c r="A28" s="8"/>
      <c r="B28" s="33"/>
      <c r="C28" s="32"/>
      <c r="D28" s="33"/>
      <c r="E28" s="33"/>
      <c r="F28" s="33"/>
      <c r="G28" s="33"/>
      <c r="H28" s="33"/>
      <c r="I28" s="33"/>
    </row>
    <row r="29" spans="1:9">
      <c r="A29" s="98" t="s">
        <v>167</v>
      </c>
      <c r="B29" s="98"/>
      <c r="C29" s="98"/>
      <c r="D29" s="98"/>
      <c r="E29" s="98"/>
      <c r="F29" s="98"/>
      <c r="G29" s="98"/>
      <c r="H29" s="98"/>
      <c r="I29" s="98"/>
    </row>
    <row r="30" spans="1:9">
      <c r="A30" s="98" t="s">
        <v>172</v>
      </c>
      <c r="B30" s="98"/>
      <c r="C30" s="98"/>
      <c r="D30" s="98"/>
      <c r="E30" s="98"/>
      <c r="F30" s="98"/>
      <c r="G30" s="98"/>
      <c r="H30" s="98"/>
      <c r="I30" s="98"/>
    </row>
    <row r="31" spans="1:9">
      <c r="A31" s="98" t="s">
        <v>181</v>
      </c>
      <c r="B31" s="98"/>
      <c r="C31" s="98"/>
      <c r="D31" s="98"/>
      <c r="E31" s="98"/>
      <c r="F31" s="98"/>
      <c r="G31" s="98"/>
      <c r="H31" s="98"/>
      <c r="I31" s="98"/>
    </row>
    <row r="32" spans="1:9" ht="25.5" customHeight="1">
      <c r="A32" s="107" t="s">
        <v>187</v>
      </c>
      <c r="B32" s="107"/>
      <c r="C32" s="107"/>
      <c r="D32" s="107"/>
      <c r="E32" s="107"/>
      <c r="F32" s="107"/>
      <c r="G32" s="107"/>
      <c r="H32" s="107"/>
      <c r="I32" s="107"/>
    </row>
  </sheetData>
  <mergeCells count="23">
    <mergeCell ref="A31:I31"/>
    <mergeCell ref="A32:I32"/>
    <mergeCell ref="H20:I20"/>
    <mergeCell ref="H15:I15"/>
    <mergeCell ref="H26:I26"/>
    <mergeCell ref="H27:I27"/>
    <mergeCell ref="A29:I29"/>
    <mergeCell ref="A30:I30"/>
    <mergeCell ref="A10:I10"/>
    <mergeCell ref="H11:I11"/>
    <mergeCell ref="H12:I12"/>
    <mergeCell ref="H13:I13"/>
    <mergeCell ref="D14:E14"/>
    <mergeCell ref="F14:G14"/>
    <mergeCell ref="H14:I14"/>
    <mergeCell ref="A4:I4"/>
    <mergeCell ref="A5:I5"/>
    <mergeCell ref="A7:A9"/>
    <mergeCell ref="B7:B9"/>
    <mergeCell ref="C7:C9"/>
    <mergeCell ref="D7:E7"/>
    <mergeCell ref="F7:G7"/>
    <mergeCell ref="H7:I7"/>
  </mergeCells>
  <conditionalFormatting sqref="K11">
    <cfRule type="containsText" dxfId="47" priority="3" operator="containsText" text="ложь">
      <formula>NOT(ISERROR(SEARCH("ложь",K11)))</formula>
    </cfRule>
    <cfRule type="containsText" dxfId="46" priority="4" operator="containsText" text="истина">
      <formula>NOT(ISERROR(SEARCH("истина",K11)))</formula>
    </cfRule>
  </conditionalFormatting>
  <conditionalFormatting sqref="K13">
    <cfRule type="containsText" dxfId="45" priority="1" operator="containsText" text="ложь">
      <formula>NOT(ISERROR(SEARCH("ложь",K13)))</formula>
    </cfRule>
    <cfRule type="containsText" dxfId="44" priority="2" operator="containsText" text="истина">
      <formula>NOT(ISERROR(SEARCH("истина",K13)))</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I52"/>
  <sheetViews>
    <sheetView zoomScaleNormal="100" workbookViewId="0">
      <pane xSplit="3" ySplit="9" topLeftCell="D43" activePane="bottomRight" state="frozen"/>
      <selection activeCell="D49" sqref="D49:F49"/>
      <selection pane="topRight" activeCell="D49" sqref="D49:F49"/>
      <selection pane="bottomLeft" activeCell="D49" sqref="D49:F49"/>
      <selection pane="bottomRight" activeCell="D49" sqref="D49:F49"/>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9">
      <c r="F1" s="34" t="s">
        <v>176</v>
      </c>
    </row>
    <row r="2" spans="1:9">
      <c r="F2" s="34" t="s">
        <v>77</v>
      </c>
    </row>
    <row r="4" spans="1:9">
      <c r="A4" s="99" t="s">
        <v>39</v>
      </c>
      <c r="B4" s="99"/>
      <c r="C4" s="99"/>
      <c r="D4" s="99"/>
      <c r="E4" s="99"/>
      <c r="F4" s="99"/>
    </row>
    <row r="5" spans="1:9">
      <c r="A5" s="99" t="str">
        <f>Титульный!$C$10</f>
        <v>Аргаяшская ТЭЦ (ТГ 4) НВ</v>
      </c>
      <c r="B5" s="99"/>
      <c r="C5" s="99"/>
      <c r="D5" s="99"/>
      <c r="E5" s="99"/>
      <c r="F5" s="99"/>
    </row>
    <row r="6" spans="1:9">
      <c r="A6" s="53"/>
      <c r="B6" s="53"/>
      <c r="C6" s="53"/>
      <c r="D6" s="53"/>
      <c r="E6" s="53"/>
      <c r="F6" s="53"/>
    </row>
    <row r="7" spans="1:9" s="8" customFormat="1" ht="38.25">
      <c r="A7" s="100" t="s">
        <v>1</v>
      </c>
      <c r="B7" s="100" t="s">
        <v>9</v>
      </c>
      <c r="C7" s="100" t="s">
        <v>10</v>
      </c>
      <c r="D7" s="54" t="s">
        <v>149</v>
      </c>
      <c r="E7" s="54" t="s">
        <v>150</v>
      </c>
      <c r="F7" s="54" t="s">
        <v>151</v>
      </c>
    </row>
    <row r="8" spans="1:9" s="8" customFormat="1">
      <c r="A8" s="100"/>
      <c r="B8" s="100"/>
      <c r="C8" s="100"/>
      <c r="D8" s="54">
        <f>Титульный!$B$5-2</f>
        <v>2017</v>
      </c>
      <c r="E8" s="54">
        <f>Титульный!$B$5-1</f>
        <v>2018</v>
      </c>
      <c r="F8" s="54">
        <f>Титульный!$B$5</f>
        <v>2019</v>
      </c>
    </row>
    <row r="9" spans="1:9" s="8" customFormat="1">
      <c r="A9" s="100"/>
      <c r="B9" s="100"/>
      <c r="C9" s="100"/>
      <c r="D9" s="54" t="s">
        <v>68</v>
      </c>
      <c r="E9" s="54" t="s">
        <v>68</v>
      </c>
      <c r="F9" s="54" t="s">
        <v>68</v>
      </c>
    </row>
    <row r="10" spans="1:9">
      <c r="A10" s="36" t="s">
        <v>88</v>
      </c>
      <c r="B10" s="37" t="s">
        <v>33</v>
      </c>
      <c r="C10" s="36" t="s">
        <v>35</v>
      </c>
      <c r="D10" s="41"/>
      <c r="E10" s="41"/>
      <c r="F10" s="29">
        <f>'[14]0.1'!$L$11</f>
        <v>65</v>
      </c>
    </row>
    <row r="11" spans="1:9" ht="38.25">
      <c r="A11" s="36" t="s">
        <v>89</v>
      </c>
      <c r="B11" s="37" t="s">
        <v>34</v>
      </c>
      <c r="C11" s="36" t="s">
        <v>35</v>
      </c>
      <c r="D11" s="41"/>
      <c r="E11" s="41"/>
      <c r="F11" s="29">
        <f>'[14]0.1'!$L$12</f>
        <v>62.529492554190135</v>
      </c>
    </row>
    <row r="12" spans="1:9">
      <c r="A12" s="36" t="s">
        <v>90</v>
      </c>
      <c r="B12" s="37" t="s">
        <v>91</v>
      </c>
      <c r="C12" s="36" t="s">
        <v>152</v>
      </c>
      <c r="D12" s="41"/>
      <c r="E12" s="41"/>
      <c r="F12" s="29">
        <f>'[14]0.1'!$L$13</f>
        <v>295.54000000000002</v>
      </c>
    </row>
    <row r="13" spans="1:9">
      <c r="A13" s="36" t="s">
        <v>92</v>
      </c>
      <c r="B13" s="37" t="s">
        <v>93</v>
      </c>
      <c r="C13" s="36" t="s">
        <v>152</v>
      </c>
      <c r="D13" s="41"/>
      <c r="E13" s="41"/>
      <c r="F13" s="29">
        <f>'[14]0.1'!$L$15</f>
        <v>273.98200000000003</v>
      </c>
    </row>
    <row r="14" spans="1:9">
      <c r="A14" s="36" t="s">
        <v>94</v>
      </c>
      <c r="B14" s="37" t="s">
        <v>95</v>
      </c>
      <c r="C14" s="36" t="s">
        <v>96</v>
      </c>
      <c r="D14" s="41"/>
      <c r="E14" s="41"/>
      <c r="F14" s="29">
        <f>'[14]0.1'!$L$16</f>
        <v>0</v>
      </c>
    </row>
    <row r="15" spans="1:9">
      <c r="A15" s="36" t="s">
        <v>97</v>
      </c>
      <c r="B15" s="37" t="s">
        <v>98</v>
      </c>
      <c r="C15" s="36" t="s">
        <v>96</v>
      </c>
      <c r="D15" s="41"/>
      <c r="E15" s="41"/>
      <c r="F15" s="29">
        <f>'[14]0.1'!$L$17</f>
        <v>0</v>
      </c>
    </row>
    <row r="16" spans="1:9">
      <c r="A16" s="36" t="s">
        <v>99</v>
      </c>
      <c r="B16" s="37" t="s">
        <v>11</v>
      </c>
      <c r="C16" s="36" t="s">
        <v>100</v>
      </c>
      <c r="D16" s="41"/>
      <c r="E16" s="41"/>
      <c r="F16" s="29">
        <f>'[14]0.1'!$L$43</f>
        <v>442857.68996066647</v>
      </c>
      <c r="I16" s="47"/>
    </row>
    <row r="17" spans="1:8">
      <c r="A17" s="36" t="s">
        <v>101</v>
      </c>
      <c r="B17" s="38" t="s">
        <v>14</v>
      </c>
      <c r="C17" s="36" t="s">
        <v>100</v>
      </c>
      <c r="D17" s="41"/>
      <c r="E17" s="41"/>
      <c r="F17" s="29">
        <f>'[14]0.1'!$J$43</f>
        <v>442857.68996066647</v>
      </c>
    </row>
    <row r="18" spans="1:8">
      <c r="A18" s="36" t="s">
        <v>102</v>
      </c>
      <c r="B18" s="38" t="s">
        <v>15</v>
      </c>
      <c r="C18" s="36" t="s">
        <v>100</v>
      </c>
      <c r="D18" s="41"/>
      <c r="E18" s="41"/>
      <c r="F18" s="29">
        <f>'[14]0.1'!$K$43</f>
        <v>0</v>
      </c>
    </row>
    <row r="19" spans="1:8" ht="25.5">
      <c r="A19" s="36" t="s">
        <v>103</v>
      </c>
      <c r="B19" s="38" t="s">
        <v>16</v>
      </c>
      <c r="C19" s="36" t="s">
        <v>100</v>
      </c>
      <c r="D19" s="41"/>
      <c r="E19" s="41"/>
      <c r="F19" s="41"/>
    </row>
    <row r="20" spans="1:8">
      <c r="A20" s="36" t="s">
        <v>104</v>
      </c>
      <c r="B20" s="37" t="s">
        <v>105</v>
      </c>
      <c r="C20" s="36" t="s">
        <v>100</v>
      </c>
      <c r="D20" s="41"/>
      <c r="E20" s="41"/>
      <c r="F20" s="29">
        <f>'[14]0.1'!$L$31</f>
        <v>442536.73511667649</v>
      </c>
      <c r="G20" s="47"/>
      <c r="H20" s="47"/>
    </row>
    <row r="21" spans="1:8">
      <c r="A21" s="36" t="s">
        <v>106</v>
      </c>
      <c r="B21" s="38" t="s">
        <v>107</v>
      </c>
      <c r="C21" s="36" t="s">
        <v>100</v>
      </c>
      <c r="D21" s="41"/>
      <c r="E21" s="41"/>
      <c r="F21" s="29">
        <f>'[14]0.1'!$L$32</f>
        <v>442536.73511667649</v>
      </c>
      <c r="G21" s="47"/>
      <c r="H21" s="47"/>
    </row>
    <row r="22" spans="1:8" ht="25.5">
      <c r="A22" s="36"/>
      <c r="B22" s="38" t="s">
        <v>108</v>
      </c>
      <c r="C22" s="36" t="s">
        <v>36</v>
      </c>
      <c r="D22" s="41"/>
      <c r="E22" s="41"/>
      <c r="F22" s="29">
        <f>'[14]4'!$M$24</f>
        <v>433.21460000000002</v>
      </c>
      <c r="G22" s="47"/>
      <c r="H22" s="47"/>
    </row>
    <row r="23" spans="1:8">
      <c r="A23" s="36" t="s">
        <v>109</v>
      </c>
      <c r="B23" s="38" t="s">
        <v>110</v>
      </c>
      <c r="C23" s="36" t="s">
        <v>100</v>
      </c>
      <c r="D23" s="41"/>
      <c r="E23" s="41"/>
      <c r="F23" s="29">
        <f>'[14]0.1'!$L$33</f>
        <v>0</v>
      </c>
    </row>
    <row r="24" spans="1:8">
      <c r="A24" s="36"/>
      <c r="B24" s="38" t="s">
        <v>111</v>
      </c>
      <c r="C24" s="36" t="s">
        <v>112</v>
      </c>
      <c r="D24" s="41"/>
      <c r="E24" s="41"/>
      <c r="F24" s="29">
        <f>'[14]4'!$M$28</f>
        <v>0</v>
      </c>
    </row>
    <row r="25" spans="1:8" ht="25.5">
      <c r="A25" s="36"/>
      <c r="B25" s="9" t="s">
        <v>113</v>
      </c>
      <c r="C25" s="36" t="s">
        <v>32</v>
      </c>
      <c r="D25" s="41"/>
      <c r="E25" s="41"/>
      <c r="F25" s="41"/>
    </row>
    <row r="26" spans="1:8">
      <c r="A26" s="36" t="s">
        <v>114</v>
      </c>
      <c r="B26" s="9" t="s">
        <v>17</v>
      </c>
      <c r="C26" s="36" t="s">
        <v>100</v>
      </c>
      <c r="D26" s="41"/>
      <c r="E26" s="41"/>
      <c r="F26" s="41"/>
    </row>
    <row r="27" spans="1:8" ht="25.5">
      <c r="A27" s="36" t="s">
        <v>115</v>
      </c>
      <c r="B27" s="9" t="s">
        <v>12</v>
      </c>
      <c r="C27" s="36" t="s">
        <v>32</v>
      </c>
      <c r="D27" s="41"/>
      <c r="E27" s="41"/>
      <c r="F27" s="41"/>
    </row>
    <row r="28" spans="1:8">
      <c r="A28" s="36" t="s">
        <v>116</v>
      </c>
      <c r="B28" s="38" t="s">
        <v>117</v>
      </c>
      <c r="C28" s="36" t="s">
        <v>118</v>
      </c>
      <c r="D28" s="41"/>
      <c r="E28" s="41"/>
      <c r="F28" s="41"/>
    </row>
    <row r="29" spans="1:8" ht="25.5">
      <c r="A29" s="39" t="s">
        <v>119</v>
      </c>
      <c r="B29" s="38" t="s">
        <v>120</v>
      </c>
      <c r="C29" s="54" t="s">
        <v>121</v>
      </c>
      <c r="D29" s="41"/>
      <c r="E29" s="41"/>
      <c r="F29" s="41"/>
    </row>
    <row r="30" spans="1:8" ht="25.5">
      <c r="A30" s="36" t="s">
        <v>122</v>
      </c>
      <c r="B30" s="38" t="s">
        <v>123</v>
      </c>
      <c r="C30" s="36" t="s">
        <v>32</v>
      </c>
      <c r="D30" s="41"/>
      <c r="E30" s="41"/>
      <c r="F30" s="41"/>
    </row>
    <row r="31" spans="1:8">
      <c r="A31" s="36" t="s">
        <v>124</v>
      </c>
      <c r="B31" s="9" t="s">
        <v>125</v>
      </c>
      <c r="C31" s="36" t="s">
        <v>100</v>
      </c>
      <c r="D31" s="41"/>
      <c r="E31" s="41"/>
      <c r="F31" s="41"/>
    </row>
    <row r="32" spans="1:8">
      <c r="A32" s="36" t="s">
        <v>126</v>
      </c>
      <c r="B32" s="38" t="s">
        <v>18</v>
      </c>
      <c r="C32" s="36" t="s">
        <v>100</v>
      </c>
      <c r="D32" s="41"/>
      <c r="E32" s="41"/>
      <c r="F32" s="41"/>
    </row>
    <row r="33" spans="1:6">
      <c r="A33" s="36" t="s">
        <v>127</v>
      </c>
      <c r="B33" s="38" t="s">
        <v>19</v>
      </c>
      <c r="C33" s="36" t="s">
        <v>100</v>
      </c>
      <c r="D33" s="41"/>
      <c r="E33" s="41"/>
      <c r="F33" s="41"/>
    </row>
    <row r="34" spans="1:6" ht="25.5">
      <c r="A34" s="36" t="s">
        <v>128</v>
      </c>
      <c r="B34" s="38" t="s">
        <v>20</v>
      </c>
      <c r="C34" s="36" t="s">
        <v>100</v>
      </c>
      <c r="D34" s="41"/>
      <c r="E34" s="41"/>
      <c r="F34" s="41"/>
    </row>
    <row r="35" spans="1:6">
      <c r="A35" s="36" t="s">
        <v>179</v>
      </c>
      <c r="B35" s="38" t="s">
        <v>180</v>
      </c>
      <c r="C35" s="36" t="s">
        <v>100</v>
      </c>
      <c r="D35" s="41"/>
      <c r="E35" s="41"/>
      <c r="F35" s="41"/>
    </row>
    <row r="36" spans="1:6">
      <c r="A36" s="36" t="s">
        <v>129</v>
      </c>
      <c r="B36" s="9" t="s">
        <v>130</v>
      </c>
      <c r="C36" s="36" t="s">
        <v>100</v>
      </c>
      <c r="D36" s="41"/>
      <c r="E36" s="41"/>
      <c r="F36" s="41"/>
    </row>
    <row r="37" spans="1:6">
      <c r="A37" s="36" t="s">
        <v>131</v>
      </c>
      <c r="B37" s="38" t="s">
        <v>21</v>
      </c>
      <c r="C37" s="36" t="s">
        <v>100</v>
      </c>
      <c r="D37" s="41"/>
      <c r="E37" s="41"/>
      <c r="F37" s="41"/>
    </row>
    <row r="38" spans="1:6">
      <c r="A38" s="36" t="s">
        <v>132</v>
      </c>
      <c r="B38" s="38" t="s">
        <v>40</v>
      </c>
      <c r="C38" s="36" t="s">
        <v>100</v>
      </c>
      <c r="D38" s="41"/>
      <c r="E38" s="41"/>
      <c r="F38" s="41"/>
    </row>
    <row r="39" spans="1:6">
      <c r="A39" s="36" t="s">
        <v>133</v>
      </c>
      <c r="B39" s="9" t="s">
        <v>134</v>
      </c>
      <c r="C39" s="36" t="s">
        <v>100</v>
      </c>
      <c r="D39" s="41"/>
      <c r="E39" s="41"/>
      <c r="F39" s="41"/>
    </row>
    <row r="40" spans="1:6">
      <c r="A40" s="36" t="s">
        <v>135</v>
      </c>
      <c r="B40" s="38" t="s">
        <v>18</v>
      </c>
      <c r="C40" s="36" t="s">
        <v>100</v>
      </c>
      <c r="D40" s="41"/>
      <c r="E40" s="41"/>
      <c r="F40" s="41"/>
    </row>
    <row r="41" spans="1:6">
      <c r="A41" s="36" t="s">
        <v>136</v>
      </c>
      <c r="B41" s="38" t="s">
        <v>19</v>
      </c>
      <c r="C41" s="36" t="s">
        <v>100</v>
      </c>
      <c r="D41" s="41"/>
      <c r="E41" s="41"/>
      <c r="F41" s="41"/>
    </row>
    <row r="42" spans="1:6" ht="25.5">
      <c r="A42" s="36" t="s">
        <v>137</v>
      </c>
      <c r="B42" s="38" t="s">
        <v>20</v>
      </c>
      <c r="C42" s="36" t="s">
        <v>100</v>
      </c>
      <c r="D42" s="41"/>
      <c r="E42" s="41"/>
      <c r="F42" s="41"/>
    </row>
    <row r="43" spans="1:6" ht="25.5">
      <c r="A43" s="36" t="s">
        <v>138</v>
      </c>
      <c r="B43" s="9" t="s">
        <v>139</v>
      </c>
      <c r="C43" s="36" t="s">
        <v>100</v>
      </c>
      <c r="D43" s="41"/>
      <c r="E43" s="41"/>
      <c r="F43" s="41"/>
    </row>
    <row r="44" spans="1:6">
      <c r="A44" s="36" t="s">
        <v>140</v>
      </c>
      <c r="B44" s="38" t="s">
        <v>18</v>
      </c>
      <c r="C44" s="36" t="s">
        <v>100</v>
      </c>
      <c r="D44" s="41"/>
      <c r="E44" s="41"/>
      <c r="F44" s="41"/>
    </row>
    <row r="45" spans="1:6">
      <c r="A45" s="36" t="s">
        <v>141</v>
      </c>
      <c r="B45" s="38" t="s">
        <v>19</v>
      </c>
      <c r="C45" s="36" t="s">
        <v>100</v>
      </c>
      <c r="D45" s="41"/>
      <c r="E45" s="41"/>
      <c r="F45" s="41"/>
    </row>
    <row r="46" spans="1:6" ht="25.5">
      <c r="A46" s="36" t="s">
        <v>142</v>
      </c>
      <c r="B46" s="38" t="s">
        <v>20</v>
      </c>
      <c r="C46" s="36" t="s">
        <v>100</v>
      </c>
      <c r="D46" s="41"/>
      <c r="E46" s="41"/>
      <c r="F46" s="41"/>
    </row>
    <row r="47" spans="1:6">
      <c r="A47" s="36" t="s">
        <v>143</v>
      </c>
      <c r="B47" s="9" t="s">
        <v>178</v>
      </c>
      <c r="C47" s="36" t="s">
        <v>100</v>
      </c>
      <c r="D47" s="52">
        <v>12200091</v>
      </c>
      <c r="E47" s="41"/>
      <c r="F47" s="41"/>
    </row>
    <row r="48" spans="1:6" ht="25.5">
      <c r="A48" s="36" t="s">
        <v>144</v>
      </c>
      <c r="B48" s="9" t="s">
        <v>177</v>
      </c>
      <c r="C48" s="36" t="s">
        <v>145</v>
      </c>
      <c r="D48" s="31">
        <f>19896480/65281414</f>
        <v>0.30478016300320948</v>
      </c>
      <c r="E48" s="41"/>
      <c r="F48" s="41"/>
    </row>
    <row r="49" spans="1:6" ht="38.25">
      <c r="A49" s="36" t="s">
        <v>146</v>
      </c>
      <c r="B49" s="9" t="s">
        <v>13</v>
      </c>
      <c r="C49" s="36" t="s">
        <v>32</v>
      </c>
      <c r="D49" s="100" t="s">
        <v>147</v>
      </c>
      <c r="E49" s="100"/>
      <c r="F49" s="100"/>
    </row>
    <row r="50" spans="1:6">
      <c r="B50" s="8"/>
    </row>
    <row r="51" spans="1:6">
      <c r="A51" s="98" t="s">
        <v>148</v>
      </c>
      <c r="B51" s="98"/>
      <c r="C51" s="98"/>
      <c r="D51" s="98"/>
      <c r="E51" s="98"/>
      <c r="F51" s="98"/>
    </row>
    <row r="52" spans="1:6">
      <c r="A52" s="98" t="s">
        <v>186</v>
      </c>
      <c r="B52" s="98"/>
      <c r="C52" s="98"/>
      <c r="D52" s="98"/>
      <c r="E52" s="98"/>
      <c r="F52" s="98"/>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sqref="A1:XFD1048576"/>
      <selection pane="topRight" sqref="A1:XFD1048576"/>
      <selection pane="bottomLeft" sqref="A1:XFD1048576"/>
      <selection pane="bottomRight" activeCell="A4" sqref="A4:I4"/>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175</v>
      </c>
    </row>
    <row r="2" spans="1:11">
      <c r="F2" s="27"/>
      <c r="I2" s="26" t="s">
        <v>77</v>
      </c>
    </row>
    <row r="3" spans="1:11">
      <c r="F3" s="27"/>
    </row>
    <row r="4" spans="1:11">
      <c r="A4" s="79" t="s">
        <v>41</v>
      </c>
      <c r="B4" s="97"/>
      <c r="C4" s="97"/>
      <c r="D4" s="97"/>
      <c r="E4" s="97"/>
      <c r="F4" s="97"/>
      <c r="G4" s="97"/>
      <c r="H4" s="97"/>
      <c r="I4" s="97"/>
    </row>
    <row r="5" spans="1:11">
      <c r="A5" s="79" t="str">
        <f>Титульный!$C$10</f>
        <v>Аргаяшская ТЭЦ (ТГ 4) НВ</v>
      </c>
      <c r="B5" s="97"/>
      <c r="C5" s="97"/>
      <c r="D5" s="97"/>
      <c r="E5" s="97"/>
      <c r="F5" s="97"/>
      <c r="G5" s="97"/>
      <c r="H5" s="97"/>
      <c r="I5" s="97"/>
    </row>
    <row r="7" spans="1:11" s="3" customFormat="1" ht="32.25" customHeight="1">
      <c r="A7" s="101" t="s">
        <v>87</v>
      </c>
      <c r="B7" s="101" t="s">
        <v>9</v>
      </c>
      <c r="C7" s="101" t="s">
        <v>153</v>
      </c>
      <c r="D7" s="101" t="s">
        <v>173</v>
      </c>
      <c r="E7" s="101"/>
      <c r="F7" s="101" t="s">
        <v>150</v>
      </c>
      <c r="G7" s="101"/>
      <c r="H7" s="101" t="s">
        <v>151</v>
      </c>
      <c r="I7" s="101"/>
      <c r="K7" s="56"/>
    </row>
    <row r="8" spans="1:11" s="3" customFormat="1">
      <c r="A8" s="101"/>
      <c r="B8" s="101"/>
      <c r="C8" s="101"/>
      <c r="D8" s="42">
        <f>Титульный!$B$5-2</f>
        <v>2017</v>
      </c>
      <c r="E8" s="43" t="s">
        <v>68</v>
      </c>
      <c r="F8" s="42">
        <f>Титульный!$B$5-1</f>
        <v>2018</v>
      </c>
      <c r="G8" s="43" t="s">
        <v>68</v>
      </c>
      <c r="H8" s="42">
        <f>Титульный!$B$5</f>
        <v>2019</v>
      </c>
      <c r="I8" s="43" t="s">
        <v>68</v>
      </c>
      <c r="K8" s="56"/>
    </row>
    <row r="9" spans="1:11" s="3" customFormat="1">
      <c r="A9" s="101"/>
      <c r="B9" s="101"/>
      <c r="C9" s="101"/>
      <c r="D9" s="55" t="s">
        <v>22</v>
      </c>
      <c r="E9" s="55" t="s">
        <v>23</v>
      </c>
      <c r="F9" s="55" t="s">
        <v>22</v>
      </c>
      <c r="G9" s="55" t="s">
        <v>23</v>
      </c>
      <c r="H9" s="55" t="s">
        <v>22</v>
      </c>
      <c r="I9" s="55" t="s">
        <v>23</v>
      </c>
    </row>
    <row r="10" spans="1:11" ht="12.75" customHeight="1">
      <c r="A10" s="102" t="s">
        <v>170</v>
      </c>
      <c r="B10" s="103"/>
      <c r="C10" s="103"/>
      <c r="D10" s="103"/>
      <c r="E10" s="103"/>
      <c r="F10" s="103"/>
      <c r="G10" s="103"/>
      <c r="H10" s="103"/>
      <c r="I10" s="104"/>
    </row>
    <row r="11" spans="1:11" ht="12.75" customHeight="1">
      <c r="A11" s="54" t="s">
        <v>154</v>
      </c>
      <c r="B11" s="37" t="s">
        <v>155</v>
      </c>
      <c r="C11" s="36" t="s">
        <v>168</v>
      </c>
      <c r="D11" s="44"/>
      <c r="E11" s="44"/>
      <c r="F11" s="44"/>
      <c r="G11" s="44"/>
      <c r="H11" s="105">
        <f>'[14]0.1'!$L$20</f>
        <v>1616.375126689587</v>
      </c>
      <c r="I11" s="106"/>
      <c r="K11" s="65" t="b">
        <f>ROUND([9]Лист1!$D$20,1)=ROUND(H11,1)</f>
        <v>1</v>
      </c>
    </row>
    <row r="12" spans="1:11" ht="12.75" customHeight="1">
      <c r="A12" s="54"/>
      <c r="B12" s="45" t="s">
        <v>171</v>
      </c>
      <c r="C12" s="36" t="s">
        <v>168</v>
      </c>
      <c r="D12" s="44"/>
      <c r="E12" s="44"/>
      <c r="F12" s="44"/>
      <c r="G12" s="44"/>
      <c r="H12" s="105">
        <f>'[14]2'!$G$170</f>
        <v>1615.203681689587</v>
      </c>
      <c r="I12" s="106"/>
    </row>
    <row r="13" spans="1:11" ht="12.75" customHeight="1">
      <c r="A13" s="54" t="s">
        <v>156</v>
      </c>
      <c r="B13" s="37" t="s">
        <v>157</v>
      </c>
      <c r="C13" s="36" t="s">
        <v>158</v>
      </c>
      <c r="D13" s="44"/>
      <c r="E13" s="44"/>
      <c r="F13" s="44"/>
      <c r="G13" s="44"/>
      <c r="H13" s="105" t="s">
        <v>196</v>
      </c>
      <c r="I13" s="106"/>
    </row>
    <row r="14" spans="1:11" ht="27.75" customHeight="1">
      <c r="A14" s="54" t="s">
        <v>159</v>
      </c>
      <c r="B14" s="37" t="s">
        <v>174</v>
      </c>
      <c r="C14" s="36" t="s">
        <v>47</v>
      </c>
      <c r="D14" s="44"/>
      <c r="E14" s="44"/>
      <c r="F14" s="44"/>
      <c r="G14" s="44"/>
      <c r="H14" s="44"/>
      <c r="I14" s="44"/>
    </row>
    <row r="15" spans="1:11" ht="26.25" customHeight="1">
      <c r="A15" s="54" t="s">
        <v>160</v>
      </c>
      <c r="B15" s="46" t="s">
        <v>48</v>
      </c>
      <c r="C15" s="36" t="s">
        <v>47</v>
      </c>
      <c r="D15" s="44"/>
      <c r="E15" s="44"/>
      <c r="F15" s="44"/>
      <c r="G15" s="44"/>
      <c r="H15" s="44"/>
      <c r="I15" s="44"/>
    </row>
    <row r="16" spans="1:11" ht="12.75" customHeight="1">
      <c r="A16" s="54" t="s">
        <v>161</v>
      </c>
      <c r="B16" s="46" t="s">
        <v>49</v>
      </c>
      <c r="C16" s="36" t="s">
        <v>47</v>
      </c>
      <c r="D16" s="44"/>
      <c r="E16" s="44"/>
      <c r="F16" s="44"/>
      <c r="G16" s="44"/>
      <c r="H16" s="44"/>
      <c r="I16" s="44"/>
    </row>
    <row r="17" spans="1:9" ht="12.75" customHeight="1">
      <c r="A17" s="54"/>
      <c r="B17" s="38" t="s">
        <v>50</v>
      </c>
      <c r="C17" s="36" t="s">
        <v>47</v>
      </c>
      <c r="D17" s="44"/>
      <c r="E17" s="44"/>
      <c r="F17" s="44"/>
      <c r="G17" s="44"/>
      <c r="H17" s="44"/>
      <c r="I17" s="44"/>
    </row>
    <row r="18" spans="1:9" ht="12.75" customHeight="1">
      <c r="A18" s="54"/>
      <c r="B18" s="38" t="s">
        <v>51</v>
      </c>
      <c r="C18" s="36" t="s">
        <v>47</v>
      </c>
      <c r="D18" s="44"/>
      <c r="E18" s="44"/>
      <c r="F18" s="44"/>
      <c r="G18" s="44"/>
      <c r="H18" s="44"/>
      <c r="I18" s="44"/>
    </row>
    <row r="19" spans="1:9" ht="12.75" customHeight="1">
      <c r="A19" s="54"/>
      <c r="B19" s="38" t="s">
        <v>52</v>
      </c>
      <c r="C19" s="36" t="s">
        <v>47</v>
      </c>
      <c r="D19" s="44"/>
      <c r="E19" s="44"/>
      <c r="F19" s="44"/>
      <c r="G19" s="44"/>
      <c r="H19" s="44"/>
      <c r="I19" s="44"/>
    </row>
    <row r="20" spans="1:9" ht="12.75" customHeight="1">
      <c r="A20" s="54"/>
      <c r="B20" s="38" t="s">
        <v>53</v>
      </c>
      <c r="C20" s="36" t="s">
        <v>47</v>
      </c>
      <c r="D20" s="44"/>
      <c r="E20" s="44"/>
      <c r="F20" s="44"/>
      <c r="G20" s="44"/>
      <c r="H20" s="44"/>
      <c r="I20" s="44"/>
    </row>
    <row r="21" spans="1:9" ht="12.75" customHeight="1">
      <c r="A21" s="54" t="s">
        <v>162</v>
      </c>
      <c r="B21" s="46" t="s">
        <v>54</v>
      </c>
      <c r="C21" s="36" t="s">
        <v>47</v>
      </c>
      <c r="D21" s="44"/>
      <c r="E21" s="44"/>
      <c r="F21" s="44"/>
      <c r="G21" s="44"/>
      <c r="H21" s="44"/>
      <c r="I21" s="44"/>
    </row>
    <row r="22" spans="1:9" ht="12.75" customHeight="1">
      <c r="A22" s="54" t="s">
        <v>163</v>
      </c>
      <c r="B22" s="37" t="s">
        <v>55</v>
      </c>
      <c r="C22" s="36" t="s">
        <v>32</v>
      </c>
      <c r="D22" s="44"/>
      <c r="E22" s="44"/>
      <c r="F22" s="44"/>
      <c r="G22" s="44"/>
      <c r="H22" s="44"/>
      <c r="I22" s="44"/>
    </row>
    <row r="23" spans="1:9" ht="25.5" customHeight="1">
      <c r="A23" s="54" t="s">
        <v>164</v>
      </c>
      <c r="B23" s="38" t="s">
        <v>56</v>
      </c>
      <c r="C23" s="54" t="s">
        <v>57</v>
      </c>
      <c r="D23" s="44"/>
      <c r="E23" s="44"/>
      <c r="F23" s="44"/>
      <c r="G23" s="44"/>
      <c r="H23" s="44"/>
      <c r="I23" s="44"/>
    </row>
    <row r="24" spans="1:9" ht="12.75" customHeight="1">
      <c r="A24" s="54" t="s">
        <v>165</v>
      </c>
      <c r="B24" s="46" t="s">
        <v>58</v>
      </c>
      <c r="C24" s="36" t="s">
        <v>47</v>
      </c>
      <c r="D24" s="44"/>
      <c r="E24" s="44"/>
      <c r="F24" s="44"/>
      <c r="G24" s="44"/>
      <c r="H24" s="44"/>
      <c r="I24" s="44"/>
    </row>
    <row r="25" spans="1:9" ht="12.75" customHeight="1">
      <c r="A25" s="54" t="s">
        <v>166</v>
      </c>
      <c r="B25" s="37" t="s">
        <v>59</v>
      </c>
      <c r="C25" s="36" t="s">
        <v>169</v>
      </c>
      <c r="D25" s="44"/>
      <c r="E25" s="44"/>
      <c r="F25" s="44"/>
      <c r="G25" s="44"/>
      <c r="H25" s="44"/>
      <c r="I25" s="44"/>
    </row>
    <row r="26" spans="1:9" ht="15" customHeight="1">
      <c r="A26" s="54"/>
      <c r="B26" s="38" t="s">
        <v>60</v>
      </c>
      <c r="C26" s="36" t="s">
        <v>169</v>
      </c>
      <c r="D26" s="44"/>
      <c r="E26" s="44"/>
      <c r="F26" s="44"/>
      <c r="G26" s="44"/>
      <c r="H26" s="44"/>
      <c r="I26" s="44"/>
    </row>
    <row r="27" spans="1:9">
      <c r="A27" s="54"/>
      <c r="B27" s="38" t="s">
        <v>61</v>
      </c>
      <c r="C27" s="36" t="s">
        <v>169</v>
      </c>
      <c r="D27" s="44"/>
      <c r="E27" s="44"/>
      <c r="F27" s="44"/>
      <c r="G27" s="44"/>
      <c r="H27" s="44"/>
      <c r="I27" s="44"/>
    </row>
    <row r="28" spans="1:9">
      <c r="A28" s="8"/>
      <c r="B28" s="33"/>
      <c r="C28" s="32"/>
      <c r="D28" s="33"/>
      <c r="E28" s="33"/>
      <c r="F28" s="33"/>
      <c r="G28" s="33"/>
      <c r="H28" s="33"/>
      <c r="I28" s="33"/>
    </row>
    <row r="29" spans="1:9">
      <c r="A29" s="98" t="s">
        <v>167</v>
      </c>
      <c r="B29" s="98"/>
      <c r="C29" s="98"/>
      <c r="D29" s="98"/>
      <c r="E29" s="98"/>
      <c r="F29" s="98"/>
      <c r="G29" s="98"/>
      <c r="H29" s="98"/>
      <c r="I29" s="98"/>
    </row>
    <row r="30" spans="1:9">
      <c r="A30" s="98" t="s">
        <v>172</v>
      </c>
      <c r="B30" s="98"/>
      <c r="C30" s="98"/>
      <c r="D30" s="98"/>
      <c r="E30" s="98"/>
      <c r="F30" s="98"/>
      <c r="G30" s="98"/>
      <c r="H30" s="98"/>
      <c r="I30" s="98"/>
    </row>
    <row r="31" spans="1:9">
      <c r="A31" s="98" t="s">
        <v>181</v>
      </c>
      <c r="B31" s="98"/>
      <c r="C31" s="98"/>
      <c r="D31" s="98"/>
      <c r="E31" s="98"/>
      <c r="F31" s="98"/>
      <c r="G31" s="98"/>
      <c r="H31" s="98"/>
      <c r="I31" s="98"/>
    </row>
    <row r="32" spans="1:9" ht="36" customHeight="1">
      <c r="A32" s="107" t="s">
        <v>190</v>
      </c>
      <c r="B32" s="107"/>
      <c r="C32" s="107"/>
      <c r="D32" s="107"/>
      <c r="E32" s="107"/>
      <c r="F32" s="107"/>
      <c r="G32" s="107"/>
      <c r="H32" s="107"/>
      <c r="I32" s="107"/>
    </row>
  </sheetData>
  <mergeCells count="16">
    <mergeCell ref="A4:I4"/>
    <mergeCell ref="A5:I5"/>
    <mergeCell ref="A7:A9"/>
    <mergeCell ref="B7:B9"/>
    <mergeCell ref="C7:C9"/>
    <mergeCell ref="D7:E7"/>
    <mergeCell ref="F7:G7"/>
    <mergeCell ref="H7:I7"/>
    <mergeCell ref="A31:I31"/>
    <mergeCell ref="A32:I32"/>
    <mergeCell ref="A29:I29"/>
    <mergeCell ref="A30:I30"/>
    <mergeCell ref="A10:I10"/>
    <mergeCell ref="H11:I11"/>
    <mergeCell ref="H12:I12"/>
    <mergeCell ref="H13:I13"/>
  </mergeCells>
  <conditionalFormatting sqref="K11">
    <cfRule type="containsText" dxfId="43" priority="1" operator="containsText" text="ложь">
      <formula>NOT(ISERROR(SEARCH("ложь",K11)))</formula>
    </cfRule>
    <cfRule type="containsText" dxfId="42" priority="2" operator="containsText" text="истина">
      <formula>NOT(ISERROR(SEARCH("истина",K11)))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I52"/>
  <sheetViews>
    <sheetView zoomScaleNormal="100" workbookViewId="0">
      <pane xSplit="3" ySplit="9" topLeftCell="D10" activePane="bottomRight" state="frozen"/>
      <selection activeCell="E50" sqref="E50"/>
      <selection pane="topRight" activeCell="E50" sqref="E50"/>
      <selection pane="bottomLeft" activeCell="E50" sqref="E50"/>
      <selection pane="bottomRight" activeCell="E49" sqref="E49"/>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8">
      <c r="F1" s="34" t="s">
        <v>176</v>
      </c>
    </row>
    <row r="2" spans="1:8">
      <c r="F2" s="34" t="s">
        <v>77</v>
      </c>
    </row>
    <row r="4" spans="1:8">
      <c r="A4" s="99" t="s">
        <v>39</v>
      </c>
      <c r="B4" s="99"/>
      <c r="C4" s="99"/>
      <c r="D4" s="99"/>
      <c r="E4" s="99"/>
      <c r="F4" s="99"/>
    </row>
    <row r="5" spans="1:8">
      <c r="A5" s="99" t="str">
        <f>Титульный!$C$11</f>
        <v>Челябинская ТЭЦ-1 без ДПМ/НВ</v>
      </c>
      <c r="B5" s="99"/>
      <c r="C5" s="99"/>
      <c r="D5" s="99"/>
      <c r="E5" s="99"/>
      <c r="F5" s="99"/>
    </row>
    <row r="6" spans="1:8">
      <c r="A6" s="49"/>
      <c r="B6" s="49"/>
      <c r="C6" s="49"/>
      <c r="D6" s="49"/>
      <c r="E6" s="49"/>
      <c r="F6" s="49"/>
    </row>
    <row r="7" spans="1:8" s="8" customFormat="1" ht="38.25">
      <c r="A7" s="100" t="s">
        <v>1</v>
      </c>
      <c r="B7" s="100" t="s">
        <v>9</v>
      </c>
      <c r="C7" s="100" t="s">
        <v>10</v>
      </c>
      <c r="D7" s="50" t="s">
        <v>149</v>
      </c>
      <c r="E7" s="50" t="s">
        <v>150</v>
      </c>
      <c r="F7" s="50" t="s">
        <v>151</v>
      </c>
    </row>
    <row r="8" spans="1:8" s="8" customFormat="1">
      <c r="A8" s="100"/>
      <c r="B8" s="100"/>
      <c r="C8" s="100"/>
      <c r="D8" s="50">
        <f>Титульный!$B$5-2</f>
        <v>2017</v>
      </c>
      <c r="E8" s="50">
        <f>Титульный!$B$5-1</f>
        <v>2018</v>
      </c>
      <c r="F8" s="50">
        <f>Титульный!$B$5</f>
        <v>2019</v>
      </c>
    </row>
    <row r="9" spans="1:8" s="8" customFormat="1">
      <c r="A9" s="100"/>
      <c r="B9" s="100"/>
      <c r="C9" s="100"/>
      <c r="D9" s="50" t="s">
        <v>68</v>
      </c>
      <c r="E9" s="50" t="s">
        <v>68</v>
      </c>
      <c r="F9" s="50" t="s">
        <v>68</v>
      </c>
    </row>
    <row r="10" spans="1:8">
      <c r="A10" s="36" t="s">
        <v>88</v>
      </c>
      <c r="B10" s="37" t="s">
        <v>33</v>
      </c>
      <c r="C10" s="36" t="s">
        <v>35</v>
      </c>
      <c r="D10" s="29">
        <f>[15]Год!$H$11</f>
        <v>50</v>
      </c>
      <c r="E10" s="29">
        <f>'[16]0.1'!$I$11</f>
        <v>50</v>
      </c>
      <c r="F10" s="29">
        <f>'[16]0.1'!$L$11</f>
        <v>50</v>
      </c>
    </row>
    <row r="11" spans="1:8" ht="38.25">
      <c r="A11" s="36" t="s">
        <v>89</v>
      </c>
      <c r="B11" s="37" t="s">
        <v>34</v>
      </c>
      <c r="C11" s="36" t="s">
        <v>35</v>
      </c>
      <c r="D11" s="29">
        <f>[15]Год!$H$12-[15]Год!$H$14</f>
        <v>27.179180766769072</v>
      </c>
      <c r="E11" s="29">
        <f>'[16]0.1'!$I$12</f>
        <v>23.929945674166667</v>
      </c>
      <c r="F11" s="29">
        <f>'[16]0.1'!$L$12</f>
        <v>25.279830975849116</v>
      </c>
    </row>
    <row r="12" spans="1:8">
      <c r="A12" s="36" t="s">
        <v>90</v>
      </c>
      <c r="B12" s="37" t="s">
        <v>91</v>
      </c>
      <c r="C12" s="36" t="s">
        <v>152</v>
      </c>
      <c r="D12" s="29">
        <f>'[17]ЧТЭЦ-1 ДМ'!$E$7</f>
        <v>232.86999999999998</v>
      </c>
      <c r="E12" s="29">
        <f>'[16]0.1'!$I$13</f>
        <v>285.22809999999998</v>
      </c>
      <c r="F12" s="29">
        <f>'[16]0.1'!$L$13</f>
        <v>243.56400000000002</v>
      </c>
    </row>
    <row r="13" spans="1:8">
      <c r="A13" s="36" t="s">
        <v>92</v>
      </c>
      <c r="B13" s="37" t="s">
        <v>93</v>
      </c>
      <c r="C13" s="36" t="s">
        <v>152</v>
      </c>
      <c r="D13" s="29">
        <f>'[17]ЧТЭЦ-1 ДМ'!$E$22</f>
        <v>200.21965799999998</v>
      </c>
      <c r="E13" s="29">
        <f>'[16]0.1'!$I$15</f>
        <v>250.71364972881997</v>
      </c>
      <c r="F13" s="29">
        <f>'[16]0.1'!$L$15</f>
        <v>201.08400000000003</v>
      </c>
    </row>
    <row r="14" spans="1:8">
      <c r="A14" s="36" t="s">
        <v>94</v>
      </c>
      <c r="B14" s="37" t="s">
        <v>95</v>
      </c>
      <c r="C14" s="36" t="s">
        <v>96</v>
      </c>
      <c r="D14" s="29">
        <f>'[17]ЧТЭЦ-1 ДМ'!$E$23</f>
        <v>435.39499999999998</v>
      </c>
      <c r="E14" s="29">
        <f>'[16]0.1'!$I$16</f>
        <v>731.76210000000003</v>
      </c>
      <c r="F14" s="29">
        <f>'[16]0.1'!$L$16</f>
        <v>504.56799999999998</v>
      </c>
      <c r="H14" s="47"/>
    </row>
    <row r="15" spans="1:8">
      <c r="A15" s="36" t="s">
        <v>97</v>
      </c>
      <c r="B15" s="37" t="s">
        <v>98</v>
      </c>
      <c r="C15" s="36" t="s">
        <v>96</v>
      </c>
      <c r="D15" s="29">
        <f>'[17]ЧТЭЦ-1 ДМ'!$E$26</f>
        <v>433.17528299999992</v>
      </c>
      <c r="E15" s="29">
        <f>'[16]0.1'!$I$17</f>
        <v>729.40510000000006</v>
      </c>
      <c r="F15" s="29">
        <f>'[16]0.1'!$L$17</f>
        <v>502.44099999999997</v>
      </c>
    </row>
    <row r="16" spans="1:8">
      <c r="A16" s="36" t="s">
        <v>99</v>
      </c>
      <c r="B16" s="37" t="s">
        <v>11</v>
      </c>
      <c r="C16" s="36" t="s">
        <v>100</v>
      </c>
      <c r="D16" s="40"/>
      <c r="E16" s="29">
        <f>'[16]0.1'!$I$43</f>
        <v>335465.74037491891</v>
      </c>
      <c r="F16" s="29">
        <f>'[16]0.1'!$L$43</f>
        <v>335571.46396005526</v>
      </c>
    </row>
    <row r="17" spans="1:8">
      <c r="A17" s="36" t="s">
        <v>101</v>
      </c>
      <c r="B17" s="38" t="s">
        <v>14</v>
      </c>
      <c r="C17" s="36" t="s">
        <v>100</v>
      </c>
      <c r="D17" s="40"/>
      <c r="E17" s="29">
        <f>'[16]0.1'!$G$43</f>
        <v>138403.92250527645</v>
      </c>
      <c r="F17" s="29">
        <f>'[16]0.1'!$J$43</f>
        <v>117961.55870165749</v>
      </c>
    </row>
    <row r="18" spans="1:8">
      <c r="A18" s="36" t="s">
        <v>102</v>
      </c>
      <c r="B18" s="38" t="s">
        <v>15</v>
      </c>
      <c r="C18" s="36" t="s">
        <v>100</v>
      </c>
      <c r="D18" s="40"/>
      <c r="E18" s="29">
        <f>'[16]0.1'!$H$43</f>
        <v>197061.81786964243</v>
      </c>
      <c r="F18" s="29">
        <f>'[16]0.1'!$K$43</f>
        <v>217609.90525839778</v>
      </c>
    </row>
    <row r="19" spans="1:8" ht="25.5">
      <c r="A19" s="36" t="s">
        <v>103</v>
      </c>
      <c r="B19" s="38" t="s">
        <v>16</v>
      </c>
      <c r="C19" s="36" t="s">
        <v>100</v>
      </c>
      <c r="D19" s="41"/>
      <c r="E19" s="41"/>
      <c r="F19" s="41"/>
    </row>
    <row r="20" spans="1:8">
      <c r="A20" s="36" t="s">
        <v>104</v>
      </c>
      <c r="B20" s="37" t="s">
        <v>105</v>
      </c>
      <c r="C20" s="36" t="s">
        <v>100</v>
      </c>
      <c r="D20" s="29">
        <f>'[5]ЧТЭЦ-1 ДМ'!$E$235</f>
        <v>402501.04243999999</v>
      </c>
      <c r="E20" s="29">
        <f>'[16]0.1'!$I$31</f>
        <v>507653.54076769279</v>
      </c>
      <c r="F20" s="29">
        <f>'[16]0.1'!$L$31</f>
        <v>382221.22499401442</v>
      </c>
      <c r="G20" s="47"/>
      <c r="H20" s="47"/>
    </row>
    <row r="21" spans="1:8">
      <c r="A21" s="36" t="s">
        <v>106</v>
      </c>
      <c r="B21" s="38" t="s">
        <v>107</v>
      </c>
      <c r="C21" s="36" t="s">
        <v>100</v>
      </c>
      <c r="D21" s="29">
        <f>'[5]ЧТЭЦ-1 ДМ'!$E$255</f>
        <v>136699.64374999996</v>
      </c>
      <c r="E21" s="29">
        <f>'[16]0.1'!$I$32</f>
        <v>136587.02448885329</v>
      </c>
      <c r="F21" s="29">
        <f>'[16]0.1'!$L$32</f>
        <v>116438.55307318774</v>
      </c>
      <c r="G21" s="47"/>
      <c r="H21" s="47"/>
    </row>
    <row r="22" spans="1:8" ht="25.5">
      <c r="A22" s="36"/>
      <c r="B22" s="38" t="s">
        <v>108</v>
      </c>
      <c r="C22" s="36" t="s">
        <v>36</v>
      </c>
      <c r="D22" s="29">
        <f>'[5]ЧТЭЦ-1 ДМ'!$E$31</f>
        <v>195.9572385011719</v>
      </c>
      <c r="E22" s="29">
        <f>'[16]4'!$L$24</f>
        <v>178.8</v>
      </c>
      <c r="F22" s="29">
        <f>'[16]4'!$M$24</f>
        <v>180.2</v>
      </c>
      <c r="G22" s="47"/>
      <c r="H22" s="47"/>
    </row>
    <row r="23" spans="1:8">
      <c r="A23" s="36" t="s">
        <v>109</v>
      </c>
      <c r="B23" s="38" t="s">
        <v>110</v>
      </c>
      <c r="C23" s="36" t="s">
        <v>100</v>
      </c>
      <c r="D23" s="29">
        <f>'[5]ЧТЭЦ-1 ДМ'!$E$254</f>
        <v>265801.39869000006</v>
      </c>
      <c r="E23" s="29">
        <f>'[16]0.1'!$I$33</f>
        <v>371066.5162788395</v>
      </c>
      <c r="F23" s="29">
        <f>'[16]0.1'!$L$33</f>
        <v>265782.67192082666</v>
      </c>
    </row>
    <row r="24" spans="1:8">
      <c r="A24" s="36"/>
      <c r="B24" s="38" t="s">
        <v>111</v>
      </c>
      <c r="C24" s="36" t="s">
        <v>112</v>
      </c>
      <c r="D24" s="29">
        <f>'[5]ЧТЭЦ-1 ДМ'!$E$36</f>
        <v>177.76042444217322</v>
      </c>
      <c r="E24" s="29">
        <f>'[16]4'!$L$28</f>
        <v>167.6</v>
      </c>
      <c r="F24" s="29">
        <f>'[16]4'!$M$28</f>
        <v>166.8</v>
      </c>
    </row>
    <row r="25" spans="1:8" ht="25.5">
      <c r="A25" s="36"/>
      <c r="B25" s="9" t="s">
        <v>113</v>
      </c>
      <c r="C25" s="36" t="s">
        <v>32</v>
      </c>
      <c r="D25" s="61" t="s">
        <v>195</v>
      </c>
      <c r="E25" s="50" t="s">
        <v>195</v>
      </c>
      <c r="F25" s="41"/>
    </row>
    <row r="26" spans="1:8">
      <c r="A26" s="36" t="s">
        <v>114</v>
      </c>
      <c r="B26" s="9" t="s">
        <v>17</v>
      </c>
      <c r="C26" s="36" t="s">
        <v>100</v>
      </c>
      <c r="D26" s="41"/>
      <c r="E26" s="41"/>
      <c r="F26" s="41"/>
    </row>
    <row r="27" spans="1:8" ht="25.5">
      <c r="A27" s="36" t="s">
        <v>115</v>
      </c>
      <c r="B27" s="9" t="s">
        <v>12</v>
      </c>
      <c r="C27" s="36" t="s">
        <v>32</v>
      </c>
      <c r="D27" s="41"/>
      <c r="E27" s="41"/>
      <c r="F27" s="41"/>
    </row>
    <row r="28" spans="1:8">
      <c r="A28" s="36" t="s">
        <v>116</v>
      </c>
      <c r="B28" s="38" t="s">
        <v>117</v>
      </c>
      <c r="C28" s="36" t="s">
        <v>118</v>
      </c>
      <c r="D28" s="41"/>
      <c r="E28" s="41"/>
      <c r="F28" s="41"/>
    </row>
    <row r="29" spans="1:8" ht="25.5">
      <c r="A29" s="39" t="s">
        <v>119</v>
      </c>
      <c r="B29" s="38" t="s">
        <v>120</v>
      </c>
      <c r="C29" s="50" t="s">
        <v>121</v>
      </c>
      <c r="D29" s="41"/>
      <c r="E29" s="41"/>
      <c r="F29" s="41"/>
    </row>
    <row r="30" spans="1:8" ht="25.5">
      <c r="A30" s="36" t="s">
        <v>122</v>
      </c>
      <c r="B30" s="38" t="s">
        <v>123</v>
      </c>
      <c r="C30" s="36" t="s">
        <v>32</v>
      </c>
      <c r="D30" s="41"/>
      <c r="E30" s="41"/>
      <c r="F30" s="41"/>
    </row>
    <row r="31" spans="1:8">
      <c r="A31" s="36" t="s">
        <v>124</v>
      </c>
      <c r="B31" s="9" t="s">
        <v>125</v>
      </c>
      <c r="C31" s="36" t="s">
        <v>100</v>
      </c>
      <c r="D31" s="29">
        <f>('[6]ЧТЭЦ-1'!$E$12-'[6]ЧТЭЦ-1'!$N$12-'[6]ЧТЭЦ-1'!$V$12-'[6]ЧТЭЦ-1'!$AH$12)/1000</f>
        <v>950053.01847000024</v>
      </c>
      <c r="E31" s="41"/>
      <c r="F31" s="41"/>
    </row>
    <row r="32" spans="1:8">
      <c r="A32" s="36" t="s">
        <v>126</v>
      </c>
      <c r="B32" s="38" t="s">
        <v>18</v>
      </c>
      <c r="C32" s="36" t="s">
        <v>100</v>
      </c>
      <c r="D32" s="29">
        <f>'[6]ЧТЭЦ-1'!$J$12/1000</f>
        <v>193169.80325</v>
      </c>
      <c r="E32" s="41"/>
      <c r="F32" s="41"/>
    </row>
    <row r="33" spans="1:9">
      <c r="A33" s="36" t="s">
        <v>127</v>
      </c>
      <c r="B33" s="38" t="s">
        <v>19</v>
      </c>
      <c r="C33" s="36" t="s">
        <v>100</v>
      </c>
      <c r="D33" s="29">
        <f>'[6]ЧТЭЦ-1'!$R$12/1000</f>
        <v>248668.20512</v>
      </c>
      <c r="E33" s="41"/>
      <c r="F33" s="41"/>
    </row>
    <row r="34" spans="1:9" ht="25.5">
      <c r="A34" s="36" t="s">
        <v>128</v>
      </c>
      <c r="B34" s="38" t="s">
        <v>20</v>
      </c>
      <c r="C34" s="36" t="s">
        <v>100</v>
      </c>
      <c r="D34" s="29">
        <f>('[6]ЧТЭЦ-1'!$Z$12-'[6]ЧТЭЦ-1'!$AH$12)/1000</f>
        <v>464712.99817000009</v>
      </c>
      <c r="E34" s="41"/>
      <c r="F34" s="41"/>
      <c r="I34" s="47"/>
    </row>
    <row r="35" spans="1:9">
      <c r="A35" s="36" t="s">
        <v>179</v>
      </c>
      <c r="B35" s="38" t="s">
        <v>180</v>
      </c>
      <c r="C35" s="36" t="s">
        <v>100</v>
      </c>
      <c r="D35" s="29">
        <f>('[6]ЧТЭЦ-1'!$AP$12+'[6]ЧТЭЦ-1'!$AT$12+'[6]ЧТЭЦ-1'!$AX$12)/1000</f>
        <v>43502.011929999993</v>
      </c>
      <c r="E35" s="41"/>
      <c r="F35" s="41"/>
    </row>
    <row r="36" spans="1:9">
      <c r="A36" s="36" t="s">
        <v>129</v>
      </c>
      <c r="B36" s="9" t="s">
        <v>130</v>
      </c>
      <c r="C36" s="36" t="s">
        <v>100</v>
      </c>
      <c r="D36" s="41"/>
      <c r="E36" s="41"/>
      <c r="F36" s="41"/>
    </row>
    <row r="37" spans="1:9">
      <c r="A37" s="36" t="s">
        <v>131</v>
      </c>
      <c r="B37" s="38" t="s">
        <v>21</v>
      </c>
      <c r="C37" s="36" t="s">
        <v>100</v>
      </c>
      <c r="D37" s="41"/>
      <c r="E37" s="41"/>
      <c r="F37" s="41"/>
    </row>
    <row r="38" spans="1:9">
      <c r="A38" s="36" t="s">
        <v>132</v>
      </c>
      <c r="B38" s="38" t="s">
        <v>40</v>
      </c>
      <c r="C38" s="36" t="s">
        <v>100</v>
      </c>
      <c r="D38" s="41"/>
      <c r="E38" s="41"/>
      <c r="F38" s="41"/>
    </row>
    <row r="39" spans="1:9">
      <c r="A39" s="36" t="s">
        <v>133</v>
      </c>
      <c r="B39" s="9" t="s">
        <v>134</v>
      </c>
      <c r="C39" s="36" t="s">
        <v>100</v>
      </c>
      <c r="D39" s="41"/>
      <c r="E39" s="41"/>
      <c r="F39" s="41"/>
    </row>
    <row r="40" spans="1:9">
      <c r="A40" s="36" t="s">
        <v>135</v>
      </c>
      <c r="B40" s="38" t="s">
        <v>18</v>
      </c>
      <c r="C40" s="36" t="s">
        <v>100</v>
      </c>
      <c r="D40" s="41"/>
      <c r="E40" s="41"/>
      <c r="F40" s="41"/>
    </row>
    <row r="41" spans="1:9">
      <c r="A41" s="36" t="s">
        <v>136</v>
      </c>
      <c r="B41" s="38" t="s">
        <v>19</v>
      </c>
      <c r="C41" s="36" t="s">
        <v>100</v>
      </c>
      <c r="D41" s="41"/>
      <c r="E41" s="41"/>
      <c r="F41" s="41"/>
    </row>
    <row r="42" spans="1:9" ht="25.5">
      <c r="A42" s="36" t="s">
        <v>137</v>
      </c>
      <c r="B42" s="38" t="s">
        <v>20</v>
      </c>
      <c r="C42" s="36" t="s">
        <v>100</v>
      </c>
      <c r="D42" s="41"/>
      <c r="E42" s="41"/>
      <c r="F42" s="41"/>
    </row>
    <row r="43" spans="1:9" ht="25.5">
      <c r="A43" s="36" t="s">
        <v>138</v>
      </c>
      <c r="B43" s="9" t="s">
        <v>139</v>
      </c>
      <c r="C43" s="36" t="s">
        <v>100</v>
      </c>
      <c r="D43" s="41"/>
      <c r="E43" s="41"/>
      <c r="F43" s="41"/>
    </row>
    <row r="44" spans="1:9">
      <c r="A44" s="36" t="s">
        <v>140</v>
      </c>
      <c r="B44" s="38" t="s">
        <v>18</v>
      </c>
      <c r="C44" s="36" t="s">
        <v>100</v>
      </c>
      <c r="D44" s="41"/>
      <c r="E44" s="41"/>
      <c r="F44" s="41"/>
    </row>
    <row r="45" spans="1:9">
      <c r="A45" s="36" t="s">
        <v>141</v>
      </c>
      <c r="B45" s="38" t="s">
        <v>19</v>
      </c>
      <c r="C45" s="36" t="s">
        <v>100</v>
      </c>
      <c r="D45" s="41"/>
      <c r="E45" s="41"/>
      <c r="F45" s="41"/>
    </row>
    <row r="46" spans="1:9" ht="25.5">
      <c r="A46" s="36" t="s">
        <v>142</v>
      </c>
      <c r="B46" s="38" t="s">
        <v>20</v>
      </c>
      <c r="C46" s="36" t="s">
        <v>100</v>
      </c>
      <c r="D46" s="41"/>
      <c r="E46" s="41"/>
      <c r="F46" s="41"/>
    </row>
    <row r="47" spans="1:9">
      <c r="A47" s="36" t="s">
        <v>143</v>
      </c>
      <c r="B47" s="9" t="s">
        <v>178</v>
      </c>
      <c r="C47" s="36" t="s">
        <v>100</v>
      </c>
      <c r="D47" s="52">
        <v>12200091</v>
      </c>
      <c r="E47" s="41"/>
      <c r="F47" s="41"/>
    </row>
    <row r="48" spans="1:9" ht="25.5">
      <c r="A48" s="36" t="s">
        <v>144</v>
      </c>
      <c r="B48" s="9" t="s">
        <v>177</v>
      </c>
      <c r="C48" s="36" t="s">
        <v>145</v>
      </c>
      <c r="D48" s="31">
        <f>19896480/65281414</f>
        <v>0.30478016300320948</v>
      </c>
      <c r="E48" s="41"/>
      <c r="F48" s="41"/>
    </row>
    <row r="49" spans="1:6" ht="229.5">
      <c r="A49" s="36" t="s">
        <v>146</v>
      </c>
      <c r="B49" s="9" t="s">
        <v>13</v>
      </c>
      <c r="C49" s="36" t="s">
        <v>32</v>
      </c>
      <c r="D49" s="9" t="s">
        <v>197</v>
      </c>
      <c r="E49" s="9" t="s">
        <v>200</v>
      </c>
      <c r="F49" s="9" t="s">
        <v>147</v>
      </c>
    </row>
    <row r="50" spans="1:6">
      <c r="B50" s="8"/>
    </row>
    <row r="51" spans="1:6">
      <c r="A51" s="98" t="s">
        <v>148</v>
      </c>
      <c r="B51" s="98"/>
      <c r="C51" s="98"/>
      <c r="D51" s="98"/>
      <c r="E51" s="98"/>
      <c r="F51" s="98"/>
    </row>
    <row r="52" spans="1:6">
      <c r="A52" s="98" t="s">
        <v>186</v>
      </c>
      <c r="B52" s="98"/>
      <c r="C52" s="98"/>
      <c r="D52" s="98"/>
      <c r="E52" s="98"/>
      <c r="F52" s="98"/>
    </row>
  </sheetData>
  <mergeCells count="7">
    <mergeCell ref="A51:F51"/>
    <mergeCell ref="A52:F52"/>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sqref="A1:XFD1048576"/>
      <selection pane="topRight" sqref="A1:XFD1048576"/>
      <selection pane="bottomLeft" sqref="A1:XFD1048576"/>
      <selection pane="bottomRight" activeCell="H12" sqref="H12:I12"/>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175</v>
      </c>
    </row>
    <row r="2" spans="1:11">
      <c r="F2" s="27"/>
      <c r="I2" s="26" t="s">
        <v>77</v>
      </c>
    </row>
    <row r="3" spans="1:11">
      <c r="F3" s="27"/>
    </row>
    <row r="4" spans="1:11">
      <c r="A4" s="79" t="s">
        <v>41</v>
      </c>
      <c r="B4" s="97"/>
      <c r="C4" s="97"/>
      <c r="D4" s="97"/>
      <c r="E4" s="97"/>
      <c r="F4" s="97"/>
      <c r="G4" s="97"/>
      <c r="H4" s="97"/>
      <c r="I4" s="97"/>
    </row>
    <row r="5" spans="1:11">
      <c r="A5" s="79" t="str">
        <f>Титульный!$C$11</f>
        <v>Челябинская ТЭЦ-1 без ДПМ/НВ</v>
      </c>
      <c r="B5" s="97"/>
      <c r="C5" s="97"/>
      <c r="D5" s="97"/>
      <c r="E5" s="97"/>
      <c r="F5" s="97"/>
      <c r="G5" s="97"/>
      <c r="H5" s="97"/>
      <c r="I5" s="97"/>
    </row>
    <row r="7" spans="1:11" s="3" customFormat="1" ht="32.25" customHeight="1">
      <c r="A7" s="101" t="s">
        <v>87</v>
      </c>
      <c r="B7" s="101" t="s">
        <v>9</v>
      </c>
      <c r="C7" s="101" t="s">
        <v>153</v>
      </c>
      <c r="D7" s="101" t="s">
        <v>173</v>
      </c>
      <c r="E7" s="101"/>
      <c r="F7" s="101" t="s">
        <v>150</v>
      </c>
      <c r="G7" s="101"/>
      <c r="H7" s="101" t="s">
        <v>151</v>
      </c>
      <c r="I7" s="101"/>
      <c r="K7" s="48"/>
    </row>
    <row r="8" spans="1:11" s="3" customFormat="1">
      <c r="A8" s="101"/>
      <c r="B8" s="101"/>
      <c r="C8" s="101"/>
      <c r="D8" s="42">
        <f>Титульный!$B$5-2</f>
        <v>2017</v>
      </c>
      <c r="E8" s="43" t="s">
        <v>68</v>
      </c>
      <c r="F8" s="42">
        <f>Титульный!$B$5-1</f>
        <v>2018</v>
      </c>
      <c r="G8" s="43" t="s">
        <v>68</v>
      </c>
      <c r="H8" s="42">
        <f>Титульный!$B$5</f>
        <v>2019</v>
      </c>
      <c r="I8" s="43" t="s">
        <v>68</v>
      </c>
      <c r="K8" s="48"/>
    </row>
    <row r="9" spans="1:11" s="3" customFormat="1">
      <c r="A9" s="101"/>
      <c r="B9" s="101"/>
      <c r="C9" s="101"/>
      <c r="D9" s="51" t="s">
        <v>22</v>
      </c>
      <c r="E9" s="51" t="s">
        <v>23</v>
      </c>
      <c r="F9" s="51" t="s">
        <v>22</v>
      </c>
      <c r="G9" s="51" t="s">
        <v>23</v>
      </c>
      <c r="H9" s="51" t="s">
        <v>22</v>
      </c>
      <c r="I9" s="51" t="s">
        <v>23</v>
      </c>
    </row>
    <row r="10" spans="1:11" ht="12.75" customHeight="1">
      <c r="A10" s="102" t="s">
        <v>170</v>
      </c>
      <c r="B10" s="103"/>
      <c r="C10" s="103"/>
      <c r="D10" s="103"/>
      <c r="E10" s="103"/>
      <c r="F10" s="103"/>
      <c r="G10" s="103"/>
      <c r="H10" s="103"/>
      <c r="I10" s="104"/>
    </row>
    <row r="11" spans="1:11" ht="12.75" customHeight="1">
      <c r="A11" s="50" t="s">
        <v>154</v>
      </c>
      <c r="B11" s="37" t="s">
        <v>155</v>
      </c>
      <c r="C11" s="36" t="s">
        <v>168</v>
      </c>
      <c r="D11" s="29">
        <f>'[7]Утв. тарифы на ЭЭ и ЭМ'!$E$13</f>
        <v>525.37</v>
      </c>
      <c r="E11" s="29">
        <f>'[7]Утв. тарифы на ЭЭ и ЭМ'!$F$13</f>
        <v>537.72</v>
      </c>
      <c r="F11" s="29">
        <f>E11</f>
        <v>537.72</v>
      </c>
      <c r="G11" s="29">
        <f>'[16]0.1'!$G$20</f>
        <v>552.03983769921831</v>
      </c>
      <c r="H11" s="105">
        <f>'[16]0.1'!$L$20</f>
        <v>586.62826829413314</v>
      </c>
      <c r="I11" s="106"/>
      <c r="K11" s="65" t="b">
        <f>ROUND([9]Лист1!$D$34,1)=ROUND(H11,1)</f>
        <v>1</v>
      </c>
    </row>
    <row r="12" spans="1:11" ht="12.75" customHeight="1">
      <c r="A12" s="50"/>
      <c r="B12" s="45" t="s">
        <v>171</v>
      </c>
      <c r="C12" s="36" t="s">
        <v>168</v>
      </c>
      <c r="D12" s="29">
        <f>('[5]ЧТЭЦ-1 ДМ'!$F$255+'[5]ЧТЭЦ-1 ДМ'!$G$255+'[5]ЧТЭЦ-1 ДМ'!$H$255+'[5]ЧТЭЦ-1 ДМ'!$J$255+'[5]ЧТЭЦ-1 ДМ'!$K$255+'[5]ЧТЭЦ-1 ДМ'!$L$255)/('[5]ЧТЭЦ-1 ДМ'!$F$22+'[5]ЧТЭЦ-1 ДМ'!$G$22+'[5]ЧТЭЦ-1 ДМ'!$H$22+'[5]ЧТЭЦ-1 ДМ'!$J$22+'[5]ЧТЭЦ-1 ДМ'!$K$22+'[5]ЧТЭЦ-1 ДМ'!$L$22)</f>
        <v>638.35330752983668</v>
      </c>
      <c r="E12" s="29">
        <f>('[5]ЧТЭЦ-1 ДМ'!$N$255+'[5]ЧТЭЦ-1 ДМ'!$O$255+'[5]ЧТЭЦ-1 ДМ'!$P$255+'[5]ЧТЭЦ-1 ДМ'!$R$255+'[5]ЧТЭЦ-1 ДМ'!$S$255+'[5]ЧТЭЦ-1 ДМ'!$T$255)/('[5]ЧТЭЦ-1 ДМ'!$N$22+'[5]ЧТЭЦ-1 ДМ'!$O$22+'[5]ЧТЭЦ-1 ДМ'!$P$22+'[5]ЧТЭЦ-1 ДМ'!$R$22+'[5]ЧТЭЦ-1 ДМ'!$S$22+'[5]ЧТЭЦ-1 ДМ'!$T$22)</f>
        <v>760.4946522539426</v>
      </c>
      <c r="F12" s="29">
        <f>'[16]2.2'!$G$181</f>
        <v>530.75308310707851</v>
      </c>
      <c r="G12" s="29">
        <f>'[16]2.1'!$G$181</f>
        <v>544.79293264084436</v>
      </c>
      <c r="H12" s="105">
        <f>'[16]2'!$G$181</f>
        <v>579.05429110813247</v>
      </c>
      <c r="I12" s="106"/>
    </row>
    <row r="13" spans="1:11" ht="12.75" customHeight="1">
      <c r="A13" s="50" t="s">
        <v>156</v>
      </c>
      <c r="B13" s="37" t="s">
        <v>157</v>
      </c>
      <c r="C13" s="36" t="s">
        <v>158</v>
      </c>
      <c r="D13" s="29">
        <f>'[7]Утв. тарифы на ЭЭ и ЭМ'!$G$13</f>
        <v>628599.4</v>
      </c>
      <c r="E13" s="29">
        <f>'[7]Утв. тарифы на ЭЭ и ЭМ'!$H$13</f>
        <v>659445.51</v>
      </c>
      <c r="F13" s="29">
        <f>E13</f>
        <v>659445.51</v>
      </c>
      <c r="G13" s="29">
        <f>'[16]0.1'!$H$21</f>
        <v>686245.52597842063</v>
      </c>
      <c r="H13" s="105">
        <f>'[16]0.1'!$L$21</f>
        <v>717337.02606071508</v>
      </c>
      <c r="I13" s="106"/>
      <c r="K13" s="65" t="b">
        <f>ROUND([9]Лист1!$E$34,1)=ROUND(H13,1)</f>
        <v>1</v>
      </c>
    </row>
    <row r="14" spans="1:11" ht="27.75" customHeight="1">
      <c r="A14" s="50" t="s">
        <v>159</v>
      </c>
      <c r="B14" s="37" t="s">
        <v>174</v>
      </c>
      <c r="C14" s="36" t="s">
        <v>47</v>
      </c>
      <c r="D14" s="105">
        <f>[11]Индексация_ЧО!$AU$111</f>
        <v>641.93004009946117</v>
      </c>
      <c r="E14" s="106"/>
      <c r="F14" s="105">
        <f>[11]Индексация_ЧО!$BC$111</f>
        <v>641.81403648616254</v>
      </c>
      <c r="G14" s="106"/>
      <c r="H14" s="105">
        <f>'[12]6.1. ЧО'!$I$23</f>
        <v>971.98007895896069</v>
      </c>
      <c r="I14" s="106"/>
    </row>
    <row r="15" spans="1:11" ht="26.25" customHeight="1">
      <c r="A15" s="50" t="s">
        <v>160</v>
      </c>
      <c r="B15" s="46" t="s">
        <v>48</v>
      </c>
      <c r="C15" s="36" t="s">
        <v>47</v>
      </c>
      <c r="D15" s="29">
        <f>'[13]Утв. тарифы на ТЭ и ТН'!$N$8</f>
        <v>641.62</v>
      </c>
      <c r="E15" s="29">
        <f>'[13]Утв. тарифы на ТЭ и ТН'!$O$8</f>
        <v>641.62</v>
      </c>
      <c r="F15" s="29">
        <f>'[13]Утв. тарифы на ТЭ и ТН'!$P$8</f>
        <v>641.62</v>
      </c>
      <c r="G15" s="29">
        <f>'[13]Утв. тарифы на ТЭ и ТН'!$Q$8</f>
        <v>641.62</v>
      </c>
      <c r="H15" s="105">
        <f>'[12]6.1. ЧО'!$I$24</f>
        <v>971.50953804854021</v>
      </c>
      <c r="I15" s="108"/>
    </row>
    <row r="16" spans="1:11" ht="12.75" customHeight="1">
      <c r="A16" s="50" t="s">
        <v>161</v>
      </c>
      <c r="B16" s="46" t="s">
        <v>49</v>
      </c>
      <c r="C16" s="36" t="s">
        <v>47</v>
      </c>
      <c r="D16" s="44"/>
      <c r="E16" s="44"/>
      <c r="F16" s="44"/>
      <c r="G16" s="44"/>
      <c r="H16" s="44"/>
      <c r="I16" s="44"/>
    </row>
    <row r="17" spans="1:9" ht="12.75" customHeight="1">
      <c r="A17" s="50"/>
      <c r="B17" s="38" t="s">
        <v>50</v>
      </c>
      <c r="C17" s="36" t="s">
        <v>47</v>
      </c>
      <c r="D17" s="44"/>
      <c r="E17" s="44"/>
      <c r="F17" s="44"/>
      <c r="G17" s="44"/>
      <c r="H17" s="44"/>
      <c r="I17" s="44"/>
    </row>
    <row r="18" spans="1:9" ht="12.75" customHeight="1">
      <c r="A18" s="50"/>
      <c r="B18" s="38" t="s">
        <v>51</v>
      </c>
      <c r="C18" s="36" t="s">
        <v>47</v>
      </c>
      <c r="D18" s="29">
        <f>'[13]Утв. тарифы на ТЭ и ТН'!$N$13</f>
        <v>701.48</v>
      </c>
      <c r="E18" s="29">
        <f>'[13]Утв. тарифы на ТЭ и ТН'!$O$13</f>
        <v>701.48</v>
      </c>
      <c r="F18" s="29">
        <f>'[13]Утв. тарифы на ТЭ и ТН'!$P$13</f>
        <v>701.48</v>
      </c>
      <c r="G18" s="29">
        <f>'[13]Утв. тарифы на ТЭ и ТН'!$Q$13</f>
        <v>701.48</v>
      </c>
      <c r="H18" s="105">
        <f>'[12]6.1. ЧО'!$I$26</f>
        <v>1054.3618386047988</v>
      </c>
      <c r="I18" s="108"/>
    </row>
    <row r="19" spans="1:9" ht="12.75" customHeight="1">
      <c r="A19" s="50"/>
      <c r="B19" s="38" t="s">
        <v>52</v>
      </c>
      <c r="C19" s="36" t="s">
        <v>47</v>
      </c>
      <c r="D19" s="44"/>
      <c r="E19" s="44"/>
      <c r="F19" s="44"/>
      <c r="G19" s="44"/>
      <c r="H19" s="44"/>
      <c r="I19" s="44"/>
    </row>
    <row r="20" spans="1:9" ht="12.75" customHeight="1">
      <c r="A20" s="50"/>
      <c r="B20" s="38" t="s">
        <v>53</v>
      </c>
      <c r="C20" s="36" t="s">
        <v>47</v>
      </c>
      <c r="D20" s="44"/>
      <c r="E20" s="44"/>
      <c r="F20" s="44"/>
      <c r="G20" s="44"/>
      <c r="H20" s="44"/>
      <c r="I20" s="44"/>
    </row>
    <row r="21" spans="1:9" ht="12.75" customHeight="1">
      <c r="A21" s="50" t="s">
        <v>162</v>
      </c>
      <c r="B21" s="46" t="s">
        <v>54</v>
      </c>
      <c r="C21" s="36" t="s">
        <v>47</v>
      </c>
      <c r="D21" s="44"/>
      <c r="E21" s="44"/>
      <c r="F21" s="44"/>
      <c r="G21" s="44"/>
      <c r="H21" s="44"/>
      <c r="I21" s="44"/>
    </row>
    <row r="22" spans="1:9" ht="12.75" customHeight="1">
      <c r="A22" s="50" t="s">
        <v>163</v>
      </c>
      <c r="B22" s="37" t="s">
        <v>55</v>
      </c>
      <c r="C22" s="36" t="s">
        <v>32</v>
      </c>
      <c r="D22" s="44"/>
      <c r="E22" s="44"/>
      <c r="F22" s="44"/>
      <c r="G22" s="44"/>
      <c r="H22" s="44"/>
      <c r="I22" s="44"/>
    </row>
    <row r="23" spans="1:9" ht="25.5" customHeight="1">
      <c r="A23" s="50" t="s">
        <v>164</v>
      </c>
      <c r="B23" s="38" t="s">
        <v>56</v>
      </c>
      <c r="C23" s="50" t="s">
        <v>57</v>
      </c>
      <c r="D23" s="44"/>
      <c r="E23" s="44"/>
      <c r="F23" s="44"/>
      <c r="G23" s="44"/>
      <c r="H23" s="44"/>
      <c r="I23" s="44"/>
    </row>
    <row r="24" spans="1:9" ht="12.75" customHeight="1">
      <c r="A24" s="50" t="s">
        <v>165</v>
      </c>
      <c r="B24" s="46" t="s">
        <v>58</v>
      </c>
      <c r="C24" s="36" t="s">
        <v>47</v>
      </c>
      <c r="D24" s="44"/>
      <c r="E24" s="44"/>
      <c r="F24" s="44"/>
      <c r="G24" s="44"/>
      <c r="H24" s="44"/>
      <c r="I24" s="44"/>
    </row>
    <row r="25" spans="1:9" ht="12.75" customHeight="1">
      <c r="A25" s="50" t="s">
        <v>166</v>
      </c>
      <c r="B25" s="37" t="s">
        <v>59</v>
      </c>
      <c r="C25" s="36" t="s">
        <v>169</v>
      </c>
      <c r="D25" s="44"/>
      <c r="E25" s="44"/>
      <c r="F25" s="44"/>
      <c r="G25" s="44"/>
      <c r="H25" s="44"/>
      <c r="I25" s="44"/>
    </row>
    <row r="26" spans="1:9" ht="15" customHeight="1">
      <c r="A26" s="50"/>
      <c r="B26" s="38" t="s">
        <v>60</v>
      </c>
      <c r="C26" s="36" t="s">
        <v>169</v>
      </c>
      <c r="D26" s="29">
        <f>'[13]Утв. тарифы на ТЭ и ТН'!$N$24</f>
        <v>28.16</v>
      </c>
      <c r="E26" s="29">
        <f>'[13]Утв. тарифы на ТЭ и ТН'!$O$24</f>
        <v>40.31</v>
      </c>
      <c r="F26" s="29">
        <f>'[13]Утв. тарифы на ТЭ и ТН'!$P$24</f>
        <v>35.270000000000003</v>
      </c>
      <c r="G26" s="29">
        <f>'[13]Утв. тарифы на ТЭ и ТН'!$Q$24</f>
        <v>35.270000000000003</v>
      </c>
      <c r="H26" s="105">
        <f>[12]ТН_ЧО!$E$49</f>
        <v>88.970828118426738</v>
      </c>
      <c r="I26" s="108"/>
    </row>
    <row r="27" spans="1:9">
      <c r="A27" s="50"/>
      <c r="B27" s="38" t="s">
        <v>61</v>
      </c>
      <c r="C27" s="36" t="s">
        <v>169</v>
      </c>
      <c r="D27" s="29">
        <f>'[13]Утв. тарифы на ТЭ и ТН'!$N$33</f>
        <v>48.02</v>
      </c>
      <c r="E27" s="29">
        <f>'[13]Утв. тарифы на ТЭ и ТН'!$O$33</f>
        <v>48.02</v>
      </c>
      <c r="F27" s="29">
        <f>'[13]Утв. тарифы на ТЭ и ТН'!$P$33</f>
        <v>37.39</v>
      </c>
      <c r="G27" s="29">
        <f>'[13]Утв. тарифы на ТЭ и ТН'!$Q$33</f>
        <v>37.39</v>
      </c>
      <c r="H27" s="105">
        <f>[12]ТН_ЧО!$E$39</f>
        <v>80.995829687251288</v>
      </c>
      <c r="I27" s="108"/>
    </row>
    <row r="28" spans="1:9">
      <c r="A28" s="8"/>
      <c r="B28" s="33"/>
      <c r="C28" s="32"/>
      <c r="D28" s="33"/>
      <c r="E28" s="33"/>
      <c r="F28" s="33"/>
      <c r="G28" s="33"/>
      <c r="H28" s="33"/>
      <c r="I28" s="33"/>
    </row>
    <row r="29" spans="1:9">
      <c r="A29" s="98" t="s">
        <v>167</v>
      </c>
      <c r="B29" s="98"/>
      <c r="C29" s="98"/>
      <c r="D29" s="98"/>
      <c r="E29" s="98"/>
      <c r="F29" s="98"/>
      <c r="G29" s="98"/>
      <c r="H29" s="98"/>
      <c r="I29" s="98"/>
    </row>
    <row r="30" spans="1:9">
      <c r="A30" s="98" t="s">
        <v>172</v>
      </c>
      <c r="B30" s="98"/>
      <c r="C30" s="98"/>
      <c r="D30" s="98"/>
      <c r="E30" s="98"/>
      <c r="F30" s="98"/>
      <c r="G30" s="98"/>
      <c r="H30" s="98"/>
      <c r="I30" s="98"/>
    </row>
    <row r="31" spans="1:9">
      <c r="A31" s="98" t="s">
        <v>181</v>
      </c>
      <c r="B31" s="98"/>
      <c r="C31" s="98"/>
      <c r="D31" s="98"/>
      <c r="E31" s="98"/>
      <c r="F31" s="98"/>
      <c r="G31" s="98"/>
      <c r="H31" s="98"/>
      <c r="I31" s="98"/>
    </row>
    <row r="32" spans="1:9">
      <c r="A32" s="98" t="s">
        <v>182</v>
      </c>
      <c r="B32" s="98"/>
      <c r="C32" s="98"/>
      <c r="D32" s="98"/>
      <c r="E32" s="98"/>
      <c r="F32" s="98"/>
      <c r="G32" s="98"/>
      <c r="H32" s="98"/>
      <c r="I32" s="98"/>
    </row>
  </sheetData>
  <mergeCells count="23">
    <mergeCell ref="A31:I31"/>
    <mergeCell ref="A32:I32"/>
    <mergeCell ref="H18:I18"/>
    <mergeCell ref="H15:I15"/>
    <mergeCell ref="H26:I26"/>
    <mergeCell ref="H27:I27"/>
    <mergeCell ref="A29:I29"/>
    <mergeCell ref="A30:I30"/>
    <mergeCell ref="A10:I10"/>
    <mergeCell ref="H11:I11"/>
    <mergeCell ref="H12:I12"/>
    <mergeCell ref="H13:I13"/>
    <mergeCell ref="D14:E14"/>
    <mergeCell ref="F14:G14"/>
    <mergeCell ref="H14:I14"/>
    <mergeCell ref="A4:I4"/>
    <mergeCell ref="A5:I5"/>
    <mergeCell ref="A7:A9"/>
    <mergeCell ref="B7:B9"/>
    <mergeCell ref="C7:C9"/>
    <mergeCell ref="D7:E7"/>
    <mergeCell ref="F7:G7"/>
    <mergeCell ref="H7:I7"/>
  </mergeCells>
  <conditionalFormatting sqref="K11">
    <cfRule type="containsText" dxfId="41" priority="3" operator="containsText" text="ложь">
      <formula>NOT(ISERROR(SEARCH("ложь",K11)))</formula>
    </cfRule>
    <cfRule type="containsText" dxfId="40" priority="4" operator="containsText" text="истина">
      <formula>NOT(ISERROR(SEARCH("истина",K11)))</formula>
    </cfRule>
  </conditionalFormatting>
  <conditionalFormatting sqref="K13">
    <cfRule type="containsText" dxfId="39" priority="1" operator="containsText" text="ложь">
      <formula>NOT(ISERROR(SEARCH("ложь",K13)))</formula>
    </cfRule>
    <cfRule type="containsText" dxfId="38" priority="2" operator="containsText" text="истина">
      <formula>NOT(ISERROR(SEARCH("истина",K13)))</formula>
    </cfRule>
  </conditionalFormatting>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35</vt:i4>
      </vt:variant>
      <vt:variant>
        <vt:lpstr>Именованные диапазоны</vt:lpstr>
      </vt:variant>
      <vt:variant>
        <vt:i4>32</vt:i4>
      </vt:variant>
    </vt:vector>
  </HeadingPairs>
  <TitlesOfParts>
    <vt:vector size="67" baseType="lpstr">
      <vt:lpstr>Титульный</vt:lpstr>
      <vt:lpstr>Свод</vt:lpstr>
      <vt:lpstr>Информация об организации</vt:lpstr>
      <vt:lpstr>АТЭЦ ДМ_П4</vt:lpstr>
      <vt:lpstr>АТЭЦ ДМ_П5</vt:lpstr>
      <vt:lpstr>АТЭЦ НМ_П4</vt:lpstr>
      <vt:lpstr>АТЭЦ НМ_П5</vt:lpstr>
      <vt:lpstr>ЧТЭЦ-1 ДМ_П4</vt:lpstr>
      <vt:lpstr>ЧТЭЦ-1 ДМ_П5</vt:lpstr>
      <vt:lpstr>ЧТЭЦ-1 НМ_П4</vt:lpstr>
      <vt:lpstr>ЧТЭЦ-1 НМ_П5</vt:lpstr>
      <vt:lpstr>ЧТЭЦ-2_П4</vt:lpstr>
      <vt:lpstr>ЧТЭЦ-2_П5</vt:lpstr>
      <vt:lpstr>ЧТЭЦ-3 ДМ_П4</vt:lpstr>
      <vt:lpstr>ЧТЭЦ-3 ДМ_П5</vt:lpstr>
      <vt:lpstr>ЧТЭЦ-3 НМ_П4</vt:lpstr>
      <vt:lpstr>ЧТЭЦ-3 НМ_П5</vt:lpstr>
      <vt:lpstr>ЧГРЭС Б1_П4</vt:lpstr>
      <vt:lpstr>ЧГРЭС Б1_П5</vt:lpstr>
      <vt:lpstr>ЧГРЭС Б2_П4</vt:lpstr>
      <vt:lpstr>ЧГРЭС Б2_П5</vt:lpstr>
      <vt:lpstr>ЧГРЭС Б3_П4</vt:lpstr>
      <vt:lpstr>ЧГРЭС Б3_П5</vt:lpstr>
      <vt:lpstr>ТТЭЦ-1 ДМ_П4</vt:lpstr>
      <vt:lpstr>ТТЭЦ-1 ДМ_П5</vt:lpstr>
      <vt:lpstr>ТТЭЦ-1 НМ_П4</vt:lpstr>
      <vt:lpstr>ТТЭЦ-1 НМ_П5</vt:lpstr>
      <vt:lpstr>ТТЭЦ-2_П4</vt:lpstr>
      <vt:lpstr>ТТЭЦ-2_П5</vt:lpstr>
      <vt:lpstr>НГРЭС Б1_П4</vt:lpstr>
      <vt:lpstr>НГРЭС Б1_П5</vt:lpstr>
      <vt:lpstr>НГРЭС Б2_П4</vt:lpstr>
      <vt:lpstr>НГРЭС Б2_П5</vt:lpstr>
      <vt:lpstr>НГРЭС Б3_П4</vt:lpstr>
      <vt:lpstr>НГРЭС Б3_П5</vt:lpstr>
      <vt:lpstr>'АТЭЦ ДМ_П4'!Область_печати</vt:lpstr>
      <vt:lpstr>'АТЭЦ ДМ_П5'!Область_печати</vt:lpstr>
      <vt:lpstr>'АТЭЦ НМ_П4'!Область_печати</vt:lpstr>
      <vt:lpstr>'АТЭЦ НМ_П5'!Область_печати</vt:lpstr>
      <vt:lpstr>'НГРЭС Б1_П4'!Область_печати</vt:lpstr>
      <vt:lpstr>'НГРЭС Б1_П5'!Область_печати</vt:lpstr>
      <vt:lpstr>'НГРЭС Б2_П4'!Область_печати</vt:lpstr>
      <vt:lpstr>'НГРЭС Б2_П5'!Область_печати</vt:lpstr>
      <vt:lpstr>'НГРЭС Б3_П4'!Область_печати</vt:lpstr>
      <vt:lpstr>'НГРЭС Б3_П5'!Область_печати</vt:lpstr>
      <vt:lpstr>'ТТЭЦ-1 ДМ_П4'!Область_печати</vt:lpstr>
      <vt:lpstr>'ТТЭЦ-1 ДМ_П5'!Область_печати</vt:lpstr>
      <vt:lpstr>'ТТЭЦ-1 НМ_П4'!Область_печати</vt:lpstr>
      <vt:lpstr>'ТТЭЦ-1 НМ_П5'!Область_печати</vt:lpstr>
      <vt:lpstr>'ТТЭЦ-2_П4'!Область_печати</vt:lpstr>
      <vt:lpstr>'ТТЭЦ-2_П5'!Область_печати</vt:lpstr>
      <vt:lpstr>'ЧГРЭС Б1_П4'!Область_печати</vt:lpstr>
      <vt:lpstr>'ЧГРЭС Б1_П5'!Область_печати</vt:lpstr>
      <vt:lpstr>'ЧГРЭС Б2_П4'!Область_печати</vt:lpstr>
      <vt:lpstr>'ЧГРЭС Б2_П5'!Область_печати</vt:lpstr>
      <vt:lpstr>'ЧГРЭС Б3_П4'!Область_печати</vt:lpstr>
      <vt:lpstr>'ЧГРЭС Б3_П5'!Область_печати</vt:lpstr>
      <vt:lpstr>'ЧТЭЦ-1 ДМ_П4'!Область_печати</vt:lpstr>
      <vt:lpstr>'ЧТЭЦ-1 ДМ_П5'!Область_печати</vt:lpstr>
      <vt:lpstr>'ЧТЭЦ-1 НМ_П4'!Область_печати</vt:lpstr>
      <vt:lpstr>'ЧТЭЦ-1 НМ_П5'!Область_печати</vt:lpstr>
      <vt:lpstr>'ЧТЭЦ-2_П4'!Область_печати</vt:lpstr>
      <vt:lpstr>'ЧТЭЦ-2_П5'!Область_печати</vt:lpstr>
      <vt:lpstr>'ЧТЭЦ-3 ДМ_П4'!Область_печати</vt:lpstr>
      <vt:lpstr>'ЧТЭЦ-3 ДМ_П5'!Область_печати</vt:lpstr>
      <vt:lpstr>'ЧТЭЦ-3 НМ_П4'!Область_печати</vt:lpstr>
      <vt:lpstr>'ЧТЭЦ-3 НМ_П5'!Область_печати</vt:lpstr>
    </vt:vector>
  </TitlesOfParts>
  <Company>Fortum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Golovko Natalya</dc:creator>
  <cp:lastModifiedBy>Silaeva Alexandra</cp:lastModifiedBy>
  <cp:lastPrinted>2015-08-31T09:46:36Z</cp:lastPrinted>
  <dcterms:created xsi:type="dcterms:W3CDTF">2013-08-21T10:15:04Z</dcterms:created>
  <dcterms:modified xsi:type="dcterms:W3CDTF">2018-05-30T09:17:48Z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Предложение РД 2018.xlsx</vt:lpwstr>
  </property>
  <property fmtid="{D5CDD505-2E9C-101B-9397-08002B2CF9AE}" pid="3" name="MSIP_Label_65c3b1a5-3e25-4525-b923-a0572e679d8b_Enabled">
    <vt:lpwstr>True</vt:lpwstr>
  </property>
  <property fmtid="{D5CDD505-2E9C-101B-9397-08002B2CF9AE}" pid="4" name="MSIP_Label_65c3b1a5-3e25-4525-b923-a0572e679d8b_SiteId">
    <vt:lpwstr>62a9c2c8-8b09-43be-a7fb-9a87875714a9</vt:lpwstr>
  </property>
  <property fmtid="{D5CDD505-2E9C-101B-9397-08002B2CF9AE}" pid="5" name="MSIP_Label_65c3b1a5-3e25-4525-b923-a0572e679d8b_Ref">
    <vt:lpwstr>https://api.informationprotection.azure.com/api/62a9c2c8-8b09-43be-a7fb-9a87875714a9</vt:lpwstr>
  </property>
  <property fmtid="{D5CDD505-2E9C-101B-9397-08002B2CF9AE}" pid="6" name="MSIP_Label_65c3b1a5-3e25-4525-b923-a0572e679d8b_Owner">
    <vt:lpwstr>natalya.savenkova@fortum.com</vt:lpwstr>
  </property>
  <property fmtid="{D5CDD505-2E9C-101B-9397-08002B2CF9AE}" pid="7" name="MSIP_Label_65c3b1a5-3e25-4525-b923-a0572e679d8b_SetDate">
    <vt:lpwstr>2018-04-11T10:58:08.2873733+03:00</vt:lpwstr>
  </property>
  <property fmtid="{D5CDD505-2E9C-101B-9397-08002B2CF9AE}" pid="8" name="MSIP_Label_65c3b1a5-3e25-4525-b923-a0572e679d8b_Name">
    <vt:lpwstr>Internal</vt:lpwstr>
  </property>
  <property fmtid="{D5CDD505-2E9C-101B-9397-08002B2CF9AE}" pid="9" name="MSIP_Label_65c3b1a5-3e25-4525-b923-a0572e679d8b_Application">
    <vt:lpwstr>Microsoft Azure Information Protection</vt:lpwstr>
  </property>
  <property fmtid="{D5CDD505-2E9C-101B-9397-08002B2CF9AE}" pid="10" name="MSIP_Label_65c3b1a5-3e25-4525-b923-a0572e679d8b_Extended_MSFT_Method">
    <vt:lpwstr>Automatic</vt:lpwstr>
  </property>
  <property fmtid="{D5CDD505-2E9C-101B-9397-08002B2CF9AE}" pid="11" name="MSIP_Label_f45044c0-b6aa-4b2b-834d-65c9ef8bb134_Enabled">
    <vt:lpwstr>True</vt:lpwstr>
  </property>
  <property fmtid="{D5CDD505-2E9C-101B-9397-08002B2CF9AE}" pid="12" name="MSIP_Label_f45044c0-b6aa-4b2b-834d-65c9ef8bb134_SiteId">
    <vt:lpwstr>62a9c2c8-8b09-43be-a7fb-9a87875714a9</vt:lpwstr>
  </property>
  <property fmtid="{D5CDD505-2E9C-101B-9397-08002B2CF9AE}" pid="13" name="MSIP_Label_f45044c0-b6aa-4b2b-834d-65c9ef8bb134_Ref">
    <vt:lpwstr>https://api.informationprotection.azure.com/api/62a9c2c8-8b09-43be-a7fb-9a87875714a9</vt:lpwstr>
  </property>
  <property fmtid="{D5CDD505-2E9C-101B-9397-08002B2CF9AE}" pid="14" name="MSIP_Label_f45044c0-b6aa-4b2b-834d-65c9ef8bb134_Owner">
    <vt:lpwstr>natalya.savenkova@fortum.com</vt:lpwstr>
  </property>
  <property fmtid="{D5CDD505-2E9C-101B-9397-08002B2CF9AE}" pid="15" name="MSIP_Label_f45044c0-b6aa-4b2b-834d-65c9ef8bb134_SetDate">
    <vt:lpwstr>2018-04-11T10:58:08.2873733+03:00</vt:lpwstr>
  </property>
  <property fmtid="{D5CDD505-2E9C-101B-9397-08002B2CF9AE}" pid="16" name="MSIP_Label_f45044c0-b6aa-4b2b-834d-65c9ef8bb134_Name">
    <vt:lpwstr>Hide Visual Label</vt:lpwstr>
  </property>
  <property fmtid="{D5CDD505-2E9C-101B-9397-08002B2CF9AE}" pid="17" name="MSIP_Label_f45044c0-b6aa-4b2b-834d-65c9ef8bb134_Application">
    <vt:lpwstr>Microsoft Azure Information Protection</vt:lpwstr>
  </property>
  <property fmtid="{D5CDD505-2E9C-101B-9397-08002B2CF9AE}" pid="18" name="MSIP_Label_f45044c0-b6aa-4b2b-834d-65c9ef8bb134_Extended_MSFT_Method">
    <vt:lpwstr>Automatic</vt:lpwstr>
  </property>
  <property fmtid="{D5CDD505-2E9C-101B-9397-08002B2CF9AE}" pid="19" name="MSIP_Label_f45044c0-b6aa-4b2b-834d-65c9ef8bb134_Parent">
    <vt:lpwstr>65c3b1a5-3e25-4525-b923-a0572e679d8b</vt:lpwstr>
  </property>
  <property fmtid="{D5CDD505-2E9C-101B-9397-08002B2CF9AE}" pid="20" name="Sensitivity">
    <vt:lpwstr>Internal Hide Visual Label</vt:lpwstr>
  </property>
  <property fmtid="{D5CDD505-2E9C-101B-9397-08002B2CF9AE}" pid="21" name="_AdHocReviewCycleID">
    <vt:i4>-1242815327</vt:i4>
  </property>
  <property fmtid="{D5CDD505-2E9C-101B-9397-08002B2CF9AE}" pid="22" name="_NewReviewCycle">
    <vt:lpwstr/>
  </property>
  <property fmtid="{D5CDD505-2E9C-101B-9397-08002B2CF9AE}" pid="23" name="_EmailSubject">
    <vt:lpwstr>Информация о тарифах в сфере электроэнергетики​ (раскрытие на сайте)</vt:lpwstr>
  </property>
  <property fmtid="{D5CDD505-2E9C-101B-9397-08002B2CF9AE}" pid="24" name="_AuthorEmail">
    <vt:lpwstr>Alexandra.O.Silaeva@fortum.com</vt:lpwstr>
  </property>
  <property fmtid="{D5CDD505-2E9C-101B-9397-08002B2CF9AE}" pid="25" name="_AuthorEmailDisplayName">
    <vt:lpwstr>Silaeva Alexandra O</vt:lpwstr>
  </property>
</Properties>
</file>